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Інформація на Корецьку, ДЮСШ,КП 11.05.2017\КП\КП ВСК\"/>
    </mc:Choice>
  </mc:AlternateContent>
  <bookViews>
    <workbookView xWindow="0" yWindow="0" windowWidth="24000" windowHeight="9030" tabRatio="837" activeTab="1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Коефіцієнти'!$A$1:$H$26</definedName>
    <definedName name="Z_1E3D5FB9_014E_4051_8AD5_DB0A17D05797_.wvu.PrintArea" localSheetId="6" hidden="1">'6.1. Інша інфо_1'!$A$1:$O$81</definedName>
    <definedName name="Z_1E3D5FB9_014E_4051_8AD5_DB0A17D05797_.wvu.PrintArea" localSheetId="7" hidden="1">'6.2. Інша інфо_2'!$A$1:$AE$55</definedName>
    <definedName name="Z_1E3D5FB9_014E_4051_8AD5_DB0A17D05797_.wvu.PrintArea" localSheetId="1" hidden="1">'I. Фін результат'!$A$1:$J$109</definedName>
    <definedName name="Z_1E3D5FB9_014E_4051_8AD5_DB0A17D05797_.wvu.PrintArea" localSheetId="4" hidden="1">'IV. Кап. інвестиції'!$A$1:$I$16</definedName>
    <definedName name="Z_1E3D5FB9_014E_4051_8AD5_DB0A17D05797_.wvu.PrintArea" localSheetId="2" hidden="1">'ІІ. Розр. з бюджетом'!$A$1:$I$42</definedName>
    <definedName name="Z_1E3D5FB9_014E_4051_8AD5_DB0A17D05797_.wvu.PrintArea" localSheetId="3" hidden="1">'ІІІ. Рух грош. коштів'!$A$1:$I$85</definedName>
    <definedName name="Z_1E3D5FB9_014E_4051_8AD5_DB0A17D05797_.wvu.PrintArea" localSheetId="0" hidden="1">'Осн. фін. пок.'!$A$1:$J$87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пок.'!$36:$36</definedName>
    <definedName name="Z_43DCEB14_ADF8_4168_9283_6542A71D3CF7_.wvu.PrintArea" localSheetId="5" hidden="1">' V. Коефіцієнти'!$A$1:$H$26</definedName>
    <definedName name="Z_43DCEB14_ADF8_4168_9283_6542A71D3CF7_.wvu.PrintArea" localSheetId="6" hidden="1">'6.1. Інша інфо_1'!$A$1:$O$81</definedName>
    <definedName name="Z_43DCEB14_ADF8_4168_9283_6542A71D3CF7_.wvu.PrintArea" localSheetId="7" hidden="1">'6.2. Інша інфо_2'!$A$1:$AE$55</definedName>
    <definedName name="Z_43DCEB14_ADF8_4168_9283_6542A71D3CF7_.wvu.PrintArea" localSheetId="1" hidden="1">'I. Фін результат'!$A$1:$J$109</definedName>
    <definedName name="Z_43DCEB14_ADF8_4168_9283_6542A71D3CF7_.wvu.PrintArea" localSheetId="4" hidden="1">'IV. Кап. інвестиції'!$A$1:$I$16</definedName>
    <definedName name="Z_43DCEB14_ADF8_4168_9283_6542A71D3CF7_.wvu.PrintArea" localSheetId="2" hidden="1">'ІІ. Розр. з бюджетом'!$A$1:$I$42</definedName>
    <definedName name="Z_43DCEB14_ADF8_4168_9283_6542A71D3CF7_.wvu.PrintArea" localSheetId="3" hidden="1">'ІІІ. Рух грош. коштів'!$A$1:$I$85</definedName>
    <definedName name="Z_43DCEB14_ADF8_4168_9283_6542A71D3CF7_.wvu.PrintArea" localSheetId="0" hidden="1">'Осн. фін. пок.'!$A$1:$J$87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пок.'!$36:$36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пок.'!$36:$36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Коефіцієнти'!$A$1:$H$26</definedName>
    <definedName name="_xlnm.Print_Area" localSheetId="6">'6.1. Інша інфо_1'!$A$1:$O$81</definedName>
    <definedName name="_xlnm.Print_Area" localSheetId="7">'6.2. Інша інфо_2'!$A$1:$AE$55</definedName>
    <definedName name="_xlnm.Print_Area" localSheetId="1">'I. Фін результат'!$A$1:$J$109</definedName>
    <definedName name="_xlnm.Print_Area" localSheetId="4">'IV. Кап. інвестиції'!$A$1:$I$16</definedName>
    <definedName name="_xlnm.Print_Area" localSheetId="2">'ІІ. Розр. з бюджетом'!$A$1:$I$42</definedName>
    <definedName name="_xlnm.Print_Area" localSheetId="3">'ІІІ. Рух грош. коштів'!$A$1:$I$85</definedName>
    <definedName name="_xlnm.Print_Area" localSheetId="0">'Осн. фін. пок.'!$A$1:$J$87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customWorkbookViews>
    <customWorkbookView name="UserNEW - Личное представление" guid="{43DCEB14-ADF8-4168-9283-6542A71D3CF7}" mergeInterval="0" personalView="1" maximized="1" xWindow="1" yWindow="1" windowWidth="1600" windowHeight="670" tabRatio="837" activeSheetId="3"/>
    <customWorkbookView name="1235 - Личное представление" guid="{1E3D5FB9-014E-4051-8AD5-DB0A17D05797}" mergeInterval="0" personalView="1" maximized="1" xWindow="1" yWindow="1" windowWidth="1276" windowHeight="794" tabRatio="837" activeSheetId="2"/>
  </customWorkbookViews>
</workbook>
</file>

<file path=xl/calcChain.xml><?xml version="1.0" encoding="utf-8"?>
<calcChain xmlns="http://schemas.openxmlformats.org/spreadsheetml/2006/main">
  <c r="I13" i="2" l="1"/>
  <c r="J28" i="7" l="1"/>
  <c r="L56" i="7"/>
  <c r="F56" i="7"/>
  <c r="L32" i="8"/>
  <c r="M32" i="8"/>
  <c r="N32" i="8"/>
  <c r="K32" i="8"/>
  <c r="J29" i="7"/>
  <c r="H35" i="3"/>
  <c r="H98" i="2" l="1"/>
  <c r="H101" i="2"/>
  <c r="I101" i="2"/>
  <c r="I98" i="2"/>
  <c r="G101" i="2"/>
  <c r="F101" i="2"/>
  <c r="F115" i="2" l="1"/>
  <c r="G115" i="2"/>
  <c r="H115" i="2"/>
  <c r="I115" i="2"/>
  <c r="G114" i="2"/>
  <c r="H114" i="2"/>
  <c r="I114" i="2"/>
  <c r="F114" i="2"/>
  <c r="F99" i="2"/>
  <c r="C39" i="4"/>
  <c r="C46" i="2"/>
  <c r="C20" i="2"/>
  <c r="C18" i="2"/>
  <c r="C17" i="2"/>
  <c r="E21" i="4" l="1"/>
  <c r="E16" i="4"/>
  <c r="I8" i="2"/>
  <c r="G20" i="2"/>
  <c r="C21" i="4" l="1"/>
  <c r="C16" i="4"/>
  <c r="C12" i="4"/>
  <c r="J27" i="7"/>
  <c r="J31" i="7" s="1"/>
  <c r="E35" i="3"/>
  <c r="C35" i="3"/>
  <c r="C97" i="2"/>
  <c r="C98" i="2"/>
  <c r="C99" i="2"/>
  <c r="C100" i="2"/>
  <c r="C37" i="3" s="1"/>
  <c r="C101" i="2"/>
  <c r="D100" i="2"/>
  <c r="D99" i="2"/>
  <c r="D97" i="2"/>
  <c r="D96" i="2" s="1"/>
  <c r="E60" i="2"/>
  <c r="C60" i="2"/>
  <c r="E46" i="2"/>
  <c r="E20" i="2"/>
  <c r="E8" i="2"/>
  <c r="C96" i="2" l="1"/>
  <c r="D14" i="6"/>
  <c r="D15" i="6"/>
  <c r="D19" i="6"/>
  <c r="H29" i="7" l="1"/>
  <c r="H33" i="7" s="1"/>
  <c r="F29" i="7"/>
  <c r="F33" i="7" s="1"/>
  <c r="D29" i="7"/>
  <c r="D33" i="7" s="1"/>
  <c r="H28" i="7"/>
  <c r="H32" i="7" s="1"/>
  <c r="F28" i="7"/>
  <c r="F32" i="7" s="1"/>
  <c r="D28" i="7"/>
  <c r="D32" i="7" s="1"/>
  <c r="H27" i="7"/>
  <c r="H31" i="7" s="1"/>
  <c r="F27" i="7"/>
  <c r="F31" i="7" s="1"/>
  <c r="D27" i="7"/>
  <c r="D31" i="7" s="1"/>
  <c r="H25" i="7"/>
  <c r="F25" i="7"/>
  <c r="D25" i="7"/>
  <c r="H24" i="7"/>
  <c r="F24" i="7"/>
  <c r="D24" i="7"/>
  <c r="H23" i="7"/>
  <c r="F23" i="7"/>
  <c r="D23" i="7"/>
  <c r="Z32" i="8"/>
  <c r="J23" i="7"/>
  <c r="J24" i="7"/>
  <c r="J25" i="7"/>
  <c r="J33" i="7"/>
  <c r="J32" i="7"/>
  <c r="C65" i="4"/>
  <c r="C64" i="4"/>
  <c r="F100" i="2"/>
  <c r="F37" i="3" s="1"/>
  <c r="N13" i="7" l="1"/>
  <c r="N15" i="7"/>
  <c r="N16" i="7"/>
  <c r="N19" i="7"/>
  <c r="N20" i="7"/>
  <c r="N21" i="7"/>
  <c r="N23" i="7"/>
  <c r="N24" i="7"/>
  <c r="N25" i="7"/>
  <c r="N27" i="7"/>
  <c r="N28" i="7"/>
  <c r="N29" i="7"/>
  <c r="N31" i="7"/>
  <c r="N32" i="7"/>
  <c r="N33" i="7"/>
  <c r="N12" i="7"/>
  <c r="F80" i="1" l="1"/>
  <c r="E80" i="1"/>
  <c r="F77" i="1"/>
  <c r="I46" i="2"/>
  <c r="C58" i="1"/>
  <c r="M7" i="8"/>
  <c r="M8" i="8"/>
  <c r="M9" i="8"/>
  <c r="M10" i="8"/>
  <c r="Q11" i="8"/>
  <c r="T11" i="8"/>
  <c r="W11" i="8"/>
  <c r="Z11" i="8"/>
  <c r="AC11" i="8"/>
  <c r="V19" i="8"/>
  <c r="V20" i="8"/>
  <c r="V21" i="8"/>
  <c r="V22" i="8"/>
  <c r="X23" i="8"/>
  <c r="Z23" i="8"/>
  <c r="AB23" i="8"/>
  <c r="AD23" i="8"/>
  <c r="W31" i="8"/>
  <c r="X31" i="8"/>
  <c r="Y31" i="8"/>
  <c r="Z31" i="8"/>
  <c r="W32" i="8"/>
  <c r="X32" i="8"/>
  <c r="Y33" i="8"/>
  <c r="Z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M42" i="8"/>
  <c r="M43" i="8"/>
  <c r="M44" i="8"/>
  <c r="M45" i="8"/>
  <c r="M46" i="8"/>
  <c r="M47" i="8"/>
  <c r="M48" i="8"/>
  <c r="E49" i="8"/>
  <c r="G49" i="8"/>
  <c r="I49" i="8"/>
  <c r="K49" i="8"/>
  <c r="O49" i="8"/>
  <c r="Q49" i="8"/>
  <c r="S49" i="8"/>
  <c r="O56" i="7"/>
  <c r="G57" i="7"/>
  <c r="J57" i="7"/>
  <c r="M57" i="7"/>
  <c r="K66" i="7"/>
  <c r="C6" i="5"/>
  <c r="D6" i="5"/>
  <c r="E6" i="5"/>
  <c r="F68" i="1" s="1"/>
  <c r="F6" i="5"/>
  <c r="G6" i="5"/>
  <c r="H6" i="5"/>
  <c r="I6" i="5"/>
  <c r="F26" i="4"/>
  <c r="G26" i="4"/>
  <c r="H26" i="4"/>
  <c r="C47" i="4"/>
  <c r="D47" i="4"/>
  <c r="E47" i="4"/>
  <c r="F63" i="1" s="1"/>
  <c r="F47" i="4"/>
  <c r="G47" i="4"/>
  <c r="H47" i="4"/>
  <c r="I47" i="4"/>
  <c r="E63" i="1" s="1"/>
  <c r="G63" i="1" s="1"/>
  <c r="H63" i="1" s="1"/>
  <c r="I63" i="1" s="1"/>
  <c r="J63" i="1" s="1"/>
  <c r="D64" i="4"/>
  <c r="D65" i="4"/>
  <c r="D75" i="4" s="1"/>
  <c r="D64" i="1" s="1"/>
  <c r="C75" i="4"/>
  <c r="C64" i="1" s="1"/>
  <c r="C8" i="3"/>
  <c r="D8" i="3"/>
  <c r="C20" i="3"/>
  <c r="D20" i="3"/>
  <c r="C21" i="3"/>
  <c r="D21" i="3"/>
  <c r="F22" i="3"/>
  <c r="G22" i="3"/>
  <c r="H22" i="3"/>
  <c r="C25" i="3"/>
  <c r="C57" i="1" s="1"/>
  <c r="D25" i="3"/>
  <c r="D57" i="1" s="1"/>
  <c r="E25" i="3"/>
  <c r="F57" i="1" s="1"/>
  <c r="F35" i="3"/>
  <c r="F25" i="3" s="1"/>
  <c r="G35" i="3"/>
  <c r="G25" i="3" s="1"/>
  <c r="H25" i="3"/>
  <c r="I35" i="3"/>
  <c r="I25" i="3" s="1"/>
  <c r="E57" i="1" s="1"/>
  <c r="G57" i="1" s="1"/>
  <c r="H57" i="1" s="1"/>
  <c r="I57" i="1" s="1"/>
  <c r="J57" i="1" s="1"/>
  <c r="C7" i="2"/>
  <c r="D7" i="2"/>
  <c r="E7" i="2"/>
  <c r="F7" i="2"/>
  <c r="G7" i="2"/>
  <c r="I7" i="2"/>
  <c r="I9" i="2"/>
  <c r="E39" i="1" s="1"/>
  <c r="G39" i="1" s="1"/>
  <c r="H39" i="1" s="1"/>
  <c r="I39" i="1" s="1"/>
  <c r="J39" i="1" s="1"/>
  <c r="F9" i="2"/>
  <c r="C9" i="2"/>
  <c r="D9" i="2"/>
  <c r="E9" i="2"/>
  <c r="F20" i="2"/>
  <c r="I20" i="2"/>
  <c r="C24" i="2"/>
  <c r="C41" i="1" s="1"/>
  <c r="D24" i="2"/>
  <c r="E24" i="2"/>
  <c r="F41" i="1" s="1"/>
  <c r="H47" i="2"/>
  <c r="H46" i="2" s="1"/>
  <c r="C48" i="2"/>
  <c r="D48" i="2"/>
  <c r="E48" i="2"/>
  <c r="F48" i="2"/>
  <c r="G48" i="2"/>
  <c r="H48" i="2"/>
  <c r="I48" i="2"/>
  <c r="C55" i="2"/>
  <c r="C102" i="2" s="1"/>
  <c r="D55" i="2"/>
  <c r="E55" i="2"/>
  <c r="F60" i="2"/>
  <c r="F55" i="2" s="1"/>
  <c r="F102" i="2" s="1"/>
  <c r="G60" i="2"/>
  <c r="G55" i="2" s="1"/>
  <c r="G102" i="2" s="1"/>
  <c r="I60" i="2"/>
  <c r="I55" i="2" s="1"/>
  <c r="C84" i="2"/>
  <c r="D84" i="2"/>
  <c r="E84" i="2"/>
  <c r="F84" i="2"/>
  <c r="G84" i="2"/>
  <c r="H84" i="2"/>
  <c r="I84" i="2"/>
  <c r="E47" i="1" s="1"/>
  <c r="G47" i="1" s="1"/>
  <c r="H47" i="1" s="1"/>
  <c r="I47" i="1" s="1"/>
  <c r="J47" i="1" s="1"/>
  <c r="C85" i="2"/>
  <c r="D85" i="2"/>
  <c r="D48" i="1" s="1"/>
  <c r="E85" i="2"/>
  <c r="F85" i="2"/>
  <c r="G85" i="2"/>
  <c r="H85" i="2"/>
  <c r="I85" i="2"/>
  <c r="C86" i="2"/>
  <c r="D86" i="2"/>
  <c r="E86" i="2"/>
  <c r="F86" i="2"/>
  <c r="G86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E97" i="2"/>
  <c r="F97" i="2"/>
  <c r="G97" i="2"/>
  <c r="H97" i="2"/>
  <c r="I97" i="2"/>
  <c r="E98" i="2"/>
  <c r="F98" i="2"/>
  <c r="G98" i="2"/>
  <c r="E99" i="2"/>
  <c r="E100" i="2"/>
  <c r="G100" i="2"/>
  <c r="G37" i="3" s="1"/>
  <c r="H100" i="2"/>
  <c r="H37" i="3" s="1"/>
  <c r="I100" i="2"/>
  <c r="I37" i="3" s="1"/>
  <c r="E58" i="1" s="1"/>
  <c r="G58" i="1" s="1"/>
  <c r="H58" i="1" s="1"/>
  <c r="I58" i="1" s="1"/>
  <c r="J58" i="1" s="1"/>
  <c r="C90" i="2"/>
  <c r="D9" i="4"/>
  <c r="E101" i="2"/>
  <c r="F9" i="4"/>
  <c r="H9" i="4"/>
  <c r="B38" i="1"/>
  <c r="C38" i="1"/>
  <c r="D38" i="1"/>
  <c r="F38" i="1"/>
  <c r="B39" i="1"/>
  <c r="B40" i="1"/>
  <c r="B41" i="1"/>
  <c r="B42" i="1"/>
  <c r="C42" i="1"/>
  <c r="D42" i="1"/>
  <c r="F42" i="1"/>
  <c r="E42" i="1"/>
  <c r="G42" i="1" s="1"/>
  <c r="H42" i="1" s="1"/>
  <c r="I42" i="1" s="1"/>
  <c r="J42" i="1" s="1"/>
  <c r="B43" i="1"/>
  <c r="B44" i="1"/>
  <c r="B45" i="1"/>
  <c r="B46" i="1"/>
  <c r="B47" i="1"/>
  <c r="C47" i="1"/>
  <c r="D47" i="1"/>
  <c r="F47" i="1"/>
  <c r="B48" i="1"/>
  <c r="C48" i="1"/>
  <c r="F48" i="1"/>
  <c r="E48" i="1"/>
  <c r="G48" i="1" s="1"/>
  <c r="H48" i="1" s="1"/>
  <c r="I48" i="1" s="1"/>
  <c r="J48" i="1" s="1"/>
  <c r="B49" i="1"/>
  <c r="B50" i="1"/>
  <c r="B51" i="1"/>
  <c r="B52" i="1"/>
  <c r="B54" i="1"/>
  <c r="B55" i="1"/>
  <c r="C56" i="1"/>
  <c r="D56" i="1"/>
  <c r="F56" i="1"/>
  <c r="E56" i="1"/>
  <c r="G56" i="1" s="1"/>
  <c r="H56" i="1" s="1"/>
  <c r="I56" i="1" s="1"/>
  <c r="J56" i="1" s="1"/>
  <c r="B57" i="1"/>
  <c r="B58" i="1"/>
  <c r="D58" i="1"/>
  <c r="B59" i="1"/>
  <c r="B61" i="1"/>
  <c r="C61" i="1"/>
  <c r="D61" i="1"/>
  <c r="B62" i="1"/>
  <c r="B63" i="1"/>
  <c r="C63" i="1"/>
  <c r="D63" i="1"/>
  <c r="B64" i="1"/>
  <c r="B65" i="1"/>
  <c r="C65" i="1"/>
  <c r="D65" i="1"/>
  <c r="F65" i="1"/>
  <c r="E65" i="1"/>
  <c r="G65" i="1" s="1"/>
  <c r="H65" i="1" s="1"/>
  <c r="I65" i="1" s="1"/>
  <c r="J65" i="1" s="1"/>
  <c r="B66" i="1"/>
  <c r="B68" i="1"/>
  <c r="C68" i="1"/>
  <c r="D68" i="1"/>
  <c r="E68" i="1"/>
  <c r="G68" i="1" s="1"/>
  <c r="H68" i="1" s="1"/>
  <c r="I68" i="1" s="1"/>
  <c r="J68" i="1" s="1"/>
  <c r="B70" i="1"/>
  <c r="B71" i="1"/>
  <c r="B72" i="1"/>
  <c r="C72" i="1"/>
  <c r="C77" i="1"/>
  <c r="C80" i="1"/>
  <c r="I102" i="2" l="1"/>
  <c r="F96" i="2"/>
  <c r="H96" i="2"/>
  <c r="I90" i="2"/>
  <c r="I9" i="4"/>
  <c r="G90" i="2"/>
  <c r="G9" i="4"/>
  <c r="E37" i="3"/>
  <c r="F58" i="1" s="1"/>
  <c r="E74" i="1"/>
  <c r="G96" i="2"/>
  <c r="I96" i="2"/>
  <c r="F17" i="6"/>
  <c r="E96" i="2"/>
  <c r="D18" i="6"/>
  <c r="D17" i="6"/>
  <c r="G17" i="6"/>
  <c r="F19" i="2"/>
  <c r="D83" i="2"/>
  <c r="D43" i="1" s="1"/>
  <c r="M49" i="8"/>
  <c r="M11" i="8"/>
  <c r="D19" i="3"/>
  <c r="D54" i="1" s="1"/>
  <c r="C19" i="3"/>
  <c r="C54" i="1" s="1"/>
  <c r="V23" i="8"/>
  <c r="H60" i="2"/>
  <c r="H55" i="2" s="1"/>
  <c r="H102" i="2" s="1"/>
  <c r="F83" i="2"/>
  <c r="D19" i="2"/>
  <c r="D40" i="1" s="1"/>
  <c r="D39" i="1"/>
  <c r="H90" i="2"/>
  <c r="D90" i="2"/>
  <c r="H9" i="2"/>
  <c r="H19" i="2" s="1"/>
  <c r="G9" i="2"/>
  <c r="G19" i="2" s="1"/>
  <c r="G19" i="6"/>
  <c r="D103" i="2"/>
  <c r="F90" i="2"/>
  <c r="E19" i="2"/>
  <c r="E64" i="2" s="1"/>
  <c r="C19" i="2"/>
  <c r="C64" i="2" s="1"/>
  <c r="I83" i="2"/>
  <c r="E43" i="1" s="1"/>
  <c r="G43" i="1" s="1"/>
  <c r="H43" i="1" s="1"/>
  <c r="I43" i="1" s="1"/>
  <c r="J43" i="1" s="1"/>
  <c r="D41" i="1"/>
  <c r="H86" i="2"/>
  <c r="F39" i="1"/>
  <c r="C39" i="1"/>
  <c r="I19" i="2"/>
  <c r="E38" i="1"/>
  <c r="G38" i="1" s="1"/>
  <c r="H38" i="1" s="1"/>
  <c r="I38" i="1" s="1"/>
  <c r="J38" i="1" s="1"/>
  <c r="I86" i="2"/>
  <c r="G83" i="2"/>
  <c r="E83" i="2"/>
  <c r="F43" i="1" s="1"/>
  <c r="E102" i="2"/>
  <c r="E103" i="2" s="1"/>
  <c r="C83" i="2"/>
  <c r="C43" i="1" s="1"/>
  <c r="C103" i="2"/>
  <c r="E9" i="4"/>
  <c r="C9" i="4"/>
  <c r="F19" i="6"/>
  <c r="F15" i="6"/>
  <c r="F14" i="6"/>
  <c r="E90" i="2"/>
  <c r="F18" i="6"/>
  <c r="F40" i="1" l="1"/>
  <c r="F7" i="6" s="1"/>
  <c r="F72" i="1"/>
  <c r="C40" i="1"/>
  <c r="D7" i="6" s="1"/>
  <c r="D64" i="2"/>
  <c r="D75" i="2" s="1"/>
  <c r="D76" i="2" s="1"/>
  <c r="H83" i="2"/>
  <c r="G18" i="6"/>
  <c r="G40" i="1"/>
  <c r="C75" i="2"/>
  <c r="C76" i="2" s="1"/>
  <c r="C89" i="2"/>
  <c r="C94" i="2" s="1"/>
  <c r="C45" i="1" s="1"/>
  <c r="C44" i="1"/>
  <c r="E75" i="2"/>
  <c r="E76" i="2" s="1"/>
  <c r="E89" i="2"/>
  <c r="E94" i="2" s="1"/>
  <c r="F45" i="1" s="1"/>
  <c r="F8" i="6" s="1"/>
  <c r="F44" i="1"/>
  <c r="E40" i="1"/>
  <c r="G7" i="6" s="1"/>
  <c r="D89" i="2" l="1"/>
  <c r="D94" i="2" s="1"/>
  <c r="D45" i="1" s="1"/>
  <c r="C22" i="3"/>
  <c r="C26" i="4"/>
  <c r="C50" i="1"/>
  <c r="C87" i="2"/>
  <c r="D44" i="1"/>
  <c r="D8" i="6"/>
  <c r="C46" i="1" s="1"/>
  <c r="D13" i="6"/>
  <c r="F13" i="6"/>
  <c r="C7" i="4"/>
  <c r="C78" i="2"/>
  <c r="C49" i="1"/>
  <c r="D78" i="2"/>
  <c r="D49" i="1"/>
  <c r="D7" i="4"/>
  <c r="D15" i="4" s="1"/>
  <c r="D25" i="4" s="1"/>
  <c r="E7" i="4"/>
  <c r="E15" i="4" s="1"/>
  <c r="E25" i="4" s="1"/>
  <c r="E78" i="2"/>
  <c r="E9" i="3" s="1"/>
  <c r="F49" i="1"/>
  <c r="H40" i="1"/>
  <c r="E10" i="3" l="1"/>
  <c r="E64" i="4"/>
  <c r="E8" i="3"/>
  <c r="E17" i="3" s="1"/>
  <c r="E20" i="3"/>
  <c r="C55" i="1"/>
  <c r="C38" i="3"/>
  <c r="C59" i="1" s="1"/>
  <c r="C15" i="4"/>
  <c r="C25" i="4" s="1"/>
  <c r="C27" i="4" s="1"/>
  <c r="F46" i="1"/>
  <c r="D80" i="2"/>
  <c r="D51" i="1"/>
  <c r="D79" i="2"/>
  <c r="I40" i="1"/>
  <c r="J40" i="1"/>
  <c r="E79" i="2"/>
  <c r="E80" i="2"/>
  <c r="F51" i="1"/>
  <c r="C79" i="2"/>
  <c r="C80" i="2"/>
  <c r="C51" i="1"/>
  <c r="E26" i="4"/>
  <c r="E27" i="4" s="1"/>
  <c r="E22" i="3"/>
  <c r="F50" i="1"/>
  <c r="E87" i="2"/>
  <c r="D27" i="4"/>
  <c r="D22" i="3"/>
  <c r="D50" i="1"/>
  <c r="D87" i="2"/>
  <c r="I7" i="3" l="1"/>
  <c r="F7" i="3"/>
  <c r="G7" i="3"/>
  <c r="H7" i="3"/>
  <c r="E65" i="4"/>
  <c r="E75" i="4" s="1"/>
  <c r="F64" i="1" s="1"/>
  <c r="E21" i="3"/>
  <c r="E19" i="3"/>
  <c r="F54" i="1" s="1"/>
  <c r="F10" i="6"/>
  <c r="F9" i="6"/>
  <c r="F11" i="6"/>
  <c r="D10" i="6"/>
  <c r="C71" i="1" s="1"/>
  <c r="D9" i="6"/>
  <c r="D11" i="6"/>
  <c r="C52" i="1" s="1"/>
  <c r="C79" i="4"/>
  <c r="C62" i="1"/>
  <c r="D79" i="4"/>
  <c r="D62" i="1"/>
  <c r="F62" i="1"/>
  <c r="F55" i="1"/>
  <c r="D55" i="1"/>
  <c r="D38" i="3"/>
  <c r="D59" i="1" s="1"/>
  <c r="C70" i="1"/>
  <c r="E38" i="3" l="1"/>
  <c r="F59" i="1" s="1"/>
  <c r="D66" i="1"/>
  <c r="D80" i="4"/>
  <c r="E77" i="4"/>
  <c r="E79" i="4" s="1"/>
  <c r="E80" i="4" s="1"/>
  <c r="C80" i="4"/>
  <c r="G77" i="4"/>
  <c r="F77" i="4"/>
  <c r="C66" i="1"/>
  <c r="F52" i="1"/>
  <c r="F70" i="1"/>
  <c r="F71" i="1"/>
  <c r="F61" i="1"/>
  <c r="H77" i="4" l="1"/>
  <c r="I77" i="4"/>
  <c r="F66" i="1"/>
  <c r="I99" i="2" l="1"/>
  <c r="I122" i="2" s="1"/>
  <c r="G99" i="2"/>
  <c r="G24" i="2"/>
  <c r="G87" i="2" s="1"/>
  <c r="H99" i="2"/>
  <c r="F24" i="2"/>
  <c r="I24" i="2"/>
  <c r="H120" i="2" l="1"/>
  <c r="H122" i="2"/>
  <c r="H121" i="2"/>
  <c r="H103" i="2"/>
  <c r="G121" i="2"/>
  <c r="G103" i="2"/>
  <c r="G122" i="2"/>
  <c r="G120" i="2"/>
  <c r="F87" i="2"/>
  <c r="F64" i="2"/>
  <c r="E41" i="1"/>
  <c r="G41" i="1" s="1"/>
  <c r="H41" i="1" s="1"/>
  <c r="I41" i="1" s="1"/>
  <c r="J41" i="1" s="1"/>
  <c r="I64" i="2"/>
  <c r="H24" i="2"/>
  <c r="G64" i="2"/>
  <c r="I120" i="2"/>
  <c r="I121" i="2"/>
  <c r="F122" i="2" l="1"/>
  <c r="F103" i="2"/>
  <c r="F120" i="2"/>
  <c r="F121" i="2"/>
  <c r="H87" i="2"/>
  <c r="H64" i="2"/>
  <c r="G89" i="2"/>
  <c r="G94" i="2" s="1"/>
  <c r="G75" i="2"/>
  <c r="G7" i="4" s="1"/>
  <c r="E44" i="1"/>
  <c r="I75" i="2"/>
  <c r="I89" i="2"/>
  <c r="I94" i="2" s="1"/>
  <c r="E45" i="1" s="1"/>
  <c r="G45" i="1" s="1"/>
  <c r="H45" i="1" s="1"/>
  <c r="I45" i="1" s="1"/>
  <c r="J45" i="1" s="1"/>
  <c r="F89" i="2"/>
  <c r="F94" i="2" s="1"/>
  <c r="F75" i="2"/>
  <c r="G44" i="1"/>
  <c r="G49" i="1" s="1"/>
  <c r="I7" i="4" l="1"/>
  <c r="I15" i="4" s="1"/>
  <c r="I25" i="4" s="1"/>
  <c r="I76" i="2"/>
  <c r="H44" i="1"/>
  <c r="H49" i="1" s="1"/>
  <c r="F78" i="2"/>
  <c r="F7" i="4"/>
  <c r="F15" i="4" s="1"/>
  <c r="F25" i="4" s="1"/>
  <c r="F27" i="4" s="1"/>
  <c r="G13" i="6"/>
  <c r="G8" i="6"/>
  <c r="E46" i="1" s="1"/>
  <c r="G46" i="1" s="1"/>
  <c r="H46" i="1" s="1"/>
  <c r="I46" i="1" s="1"/>
  <c r="J46" i="1" s="1"/>
  <c r="G50" i="1"/>
  <c r="E49" i="1"/>
  <c r="G78" i="2"/>
  <c r="G15" i="4"/>
  <c r="G25" i="4" s="1"/>
  <c r="G27" i="4" s="1"/>
  <c r="H89" i="2"/>
  <c r="H94" i="2" s="1"/>
  <c r="H75" i="2"/>
  <c r="H7" i="4" s="1"/>
  <c r="I78" i="2" l="1"/>
  <c r="I9" i="3" s="1"/>
  <c r="I103" i="2"/>
  <c r="G51" i="1"/>
  <c r="G54" i="1" s="1"/>
  <c r="G55" i="1"/>
  <c r="G65" i="4"/>
  <c r="E51" i="1"/>
  <c r="G80" i="2"/>
  <c r="G79" i="2"/>
  <c r="H15" i="4"/>
  <c r="H25" i="4" s="1"/>
  <c r="H27" i="4" s="1"/>
  <c r="H78" i="2"/>
  <c r="F80" i="2"/>
  <c r="F79" i="2"/>
  <c r="H50" i="1"/>
  <c r="I26" i="4"/>
  <c r="I27" i="4" s="1"/>
  <c r="I22" i="3"/>
  <c r="E55" i="1" s="1"/>
  <c r="E50" i="1"/>
  <c r="I87" i="2"/>
  <c r="J44" i="1"/>
  <c r="J49" i="1" s="1"/>
  <c r="I44" i="1"/>
  <c r="I49" i="1" s="1"/>
  <c r="I79" i="2" l="1"/>
  <c r="I80" i="2"/>
  <c r="I10" i="3"/>
  <c r="I65" i="4" s="1"/>
  <c r="I75" i="4" s="1"/>
  <c r="G52" i="1"/>
  <c r="H51" i="1"/>
  <c r="H52" i="1" s="1"/>
  <c r="H55" i="1"/>
  <c r="I8" i="3"/>
  <c r="G8" i="3"/>
  <c r="G17" i="3" s="1"/>
  <c r="I79" i="4"/>
  <c r="I80" i="4" s="1"/>
  <c r="H65" i="4"/>
  <c r="E62" i="1"/>
  <c r="G62" i="1" s="1"/>
  <c r="H62" i="1" s="1"/>
  <c r="I62" i="1" s="1"/>
  <c r="J62" i="1" s="1"/>
  <c r="I50" i="1"/>
  <c r="J50" i="1"/>
  <c r="F21" i="3"/>
  <c r="F65" i="4"/>
  <c r="G59" i="1"/>
  <c r="F8" i="3"/>
  <c r="F17" i="3" s="1"/>
  <c r="F20" i="3"/>
  <c r="F64" i="4"/>
  <c r="H80" i="2"/>
  <c r="H79" i="2"/>
  <c r="G64" i="4"/>
  <c r="G75" i="4" s="1"/>
  <c r="G79" i="4" s="1"/>
  <c r="G80" i="4" s="1"/>
  <c r="G20" i="3"/>
  <c r="G11" i="6"/>
  <c r="E52" i="1" s="1"/>
  <c r="H54" i="1" l="1"/>
  <c r="H59" i="1" s="1"/>
  <c r="I51" i="1"/>
  <c r="I52" i="1" s="1"/>
  <c r="I55" i="1"/>
  <c r="J51" i="1"/>
  <c r="J54" i="1" s="1"/>
  <c r="J55" i="1"/>
  <c r="H8" i="3"/>
  <c r="H17" i="3" s="1"/>
  <c r="F75" i="4"/>
  <c r="F79" i="4" s="1"/>
  <c r="F80" i="4" s="1"/>
  <c r="F19" i="3"/>
  <c r="F38" i="3" s="1"/>
  <c r="E61" i="1"/>
  <c r="G21" i="3"/>
  <c r="G19" i="3" s="1"/>
  <c r="G38" i="3" s="1"/>
  <c r="H20" i="3"/>
  <c r="H64" i="4"/>
  <c r="H75" i="4" s="1"/>
  <c r="H21" i="3"/>
  <c r="I54" i="1" l="1"/>
  <c r="I59" i="1" s="1"/>
  <c r="J52" i="1"/>
  <c r="J59" i="1"/>
  <c r="H79" i="4"/>
  <c r="H80" i="4" s="1"/>
  <c r="I21" i="3"/>
  <c r="I17" i="3"/>
  <c r="I20" i="3"/>
  <c r="H19" i="3"/>
  <c r="H38" i="3" s="1"/>
  <c r="I19" i="3" l="1"/>
  <c r="I38" i="3" s="1"/>
  <c r="E59" i="1" s="1"/>
  <c r="E64" i="1"/>
  <c r="G64" i="1" s="1"/>
  <c r="H64" i="1" s="1"/>
  <c r="I64" i="1" s="1"/>
  <c r="J64" i="1" s="1"/>
  <c r="E83" i="1" l="1"/>
  <c r="E75" i="1" s="1"/>
  <c r="E54" i="1"/>
  <c r="E66" i="1"/>
  <c r="G61" i="1" s="1"/>
  <c r="G66" i="1" s="1"/>
  <c r="H61" i="1" s="1"/>
  <c r="H66" i="1" s="1"/>
  <c r="I61" i="1" s="1"/>
  <c r="I66" i="1" s="1"/>
  <c r="J61" i="1" s="1"/>
  <c r="J66" i="1" s="1"/>
  <c r="E76" i="1"/>
  <c r="G14" i="6"/>
  <c r="E72" i="1" s="1"/>
  <c r="G10" i="6"/>
  <c r="E71" i="1" s="1"/>
  <c r="G15" i="6" l="1"/>
  <c r="E77" i="1"/>
  <c r="G9" i="6" s="1"/>
  <c r="E70" i="1" s="1"/>
</calcChain>
</file>

<file path=xl/comments1.xml><?xml version="1.0" encoding="utf-8"?>
<comments xmlns="http://schemas.openxmlformats.org/spreadsheetml/2006/main">
  <authors>
    <author>1235</author>
  </authors>
  <commentList>
    <comment ref="D69" authorId="0" shapeId="0">
      <text>
        <r>
          <rPr>
            <b/>
            <sz val="9"/>
            <color indexed="81"/>
            <rFont val="Tahoma"/>
            <family val="2"/>
            <charset val="204"/>
          </rPr>
          <t>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1235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UserNEW: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<sst xmlns="http://schemas.openxmlformats.org/spreadsheetml/2006/main" count="707" uniqueCount="484">
  <si>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</si>
  <si>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</si>
  <si>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</si>
  <si>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</si>
  <si>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</si>
  <si>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</si>
  <si>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</si>
  <si>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</si>
  <si>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</si>
  <si>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</si>
  <si>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</si>
  <si>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</si>
  <si>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</si>
  <si>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</si>
  <si>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</si>
  <si>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</si>
  <si>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</si>
  <si>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</si>
  <si>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</si>
  <si>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</si>
  <si>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</si>
  <si>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</si>
  <si>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</si>
  <si>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</si>
  <si>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</si>
  <si>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</si>
  <si>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</si>
  <si>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</si>
  <si>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</si>
  <si>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</si>
  <si>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</si>
  <si>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</si>
  <si>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</si>
  <si>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</si>
  <si>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</si>
  <si>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</si>
  <si>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</si>
  <si>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</si>
  <si>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</si>
  <si>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</si>
  <si>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</si>
  <si>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</si>
  <si>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</si>
  <si>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</si>
  <si>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</si>
  <si>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</si>
  <si>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</si>
  <si>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</si>
  <si>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</si>
  <si>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</si>
  <si>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</si>
  <si>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</si>
  <si>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</si>
  <si>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</si>
  <si>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</si>
  <si>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</si>
  <si>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</si>
  <si>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</si>
  <si>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</si>
  <si>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</si>
  <si>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</si>
  <si>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</si>
  <si>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</si>
  <si>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</si>
  <si>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</si>
  <si>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</si>
  <si>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</si>
  <si>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</si>
  <si>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</si>
  <si>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</si>
  <si>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</si>
  <si>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</si>
  <si>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</si>
  <si>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</si>
  <si>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</si>
  <si>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</si>
  <si>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</si>
  <si>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</si>
  <si>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</si>
  <si>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</si>
  <si>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</si>
  <si>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</si>
  <si>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</si>
  <si>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</si>
  <si>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</si>
  <si>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</si>
  <si>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</si>
  <si>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</si>
  <si>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</si>
  <si>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</si>
  <si>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</si>
  <si>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</si>
  <si>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</si>
  <si>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</si>
  <si>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</si>
  <si>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</si>
  <si>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</si>
  <si>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</si>
  <si>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</si>
  <si>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</si>
  <si>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</si>
  <si>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</si>
  <si>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</si>
  <si>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</si>
  <si>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</si>
  <si>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</si>
  <si>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</si>
  <si>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</si>
  <si>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</si>
  <si>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</si>
  <si>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</si>
  <si>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</si>
  <si>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</si>
  <si>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</si>
  <si>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</si>
  <si>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</si>
  <si>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</si>
  <si>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</si>
  <si>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</si>
  <si>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</si>
  <si>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</si>
  <si>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</si>
  <si>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</si>
  <si>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</si>
  <si>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</si>
  <si>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</si>
  <si>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</si>
  <si>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</si>
  <si>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</si>
  <si>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</si>
  <si>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</si>
  <si>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</si>
  <si>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</si>
  <si>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</si>
  <si>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</si>
  <si>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</si>
  <si>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</si>
  <si>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</si>
  <si>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</si>
  <si>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</si>
  <si>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</si>
  <si>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</si>
  <si>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</si>
  <si>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</si>
  <si>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</si>
  <si>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</si>
  <si>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</si>
  <si>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</si>
  <si>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</si>
  <si>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</si>
  <si>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</si>
  <si>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</si>
  <si>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</si>
  <si>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</si>
  <si>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</si>
  <si>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</si>
  <si>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</si>
  <si>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</si>
  <si>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</si>
  <si>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</si>
  <si>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</si>
  <si>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</si>
  <si>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</si>
  <si>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</si>
  <si>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</si>
  <si>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</si>
  <si>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</si>
  <si>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</si>
  <si>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</si>
  <si>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</si>
  <si>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</si>
  <si>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</si>
  <si>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</si>
  <si>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</si>
  <si>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</si>
  <si>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</si>
  <si>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</si>
  <si>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</si>
  <si>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</si>
  <si>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</si>
  <si>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</si>
  <si>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</si>
  <si>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</si>
  <si>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</si>
  <si>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</si>
  <si>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</si>
  <si>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</si>
  <si>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</si>
  <si>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</si>
  <si>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</si>
  <si>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</si>
  <si>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</si>
  <si>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</si>
  <si>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</si>
  <si>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</si>
  <si>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</si>
  <si>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</si>
  <si>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</si>
  <si>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</si>
  <si>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</si>
  <si>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</si>
  <si>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</si>
  <si>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</si>
  <si>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</si>
  <si>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</si>
  <si>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</si>
  <si>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</si>
  <si>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</si>
  <si>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</si>
  <si>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</si>
  <si>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</si>
  <si>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</si>
  <si>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</si>
  <si>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</si>
  <si>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</si>
  <si>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</si>
  <si>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</si>
  <si>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</si>
  <si>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</si>
  <si>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</si>
  <si>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</si>
  <si>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</si>
  <si>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</si>
  <si>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</si>
  <si>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</si>
  <si>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</si>
  <si>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</si>
  <si>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</si>
  <si>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</si>
  <si>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</si>
  <si>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</si>
  <si>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</si>
  <si>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</si>
  <si>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</si>
  <si>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</si>
  <si>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</si>
  <si>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</si>
  <si>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</si>
  <si>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</si>
  <si>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</si>
  <si>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</si>
  <si>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</si>
  <si>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</si>
  <si>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</si>
  <si>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</si>
  <si>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</si>
  <si>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</si>
  <si>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</si>
  <si>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</si>
  <si>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</si>
  <si>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</si>
  <si>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</si>
  <si>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</si>
  <si>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</si>
  <si>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</si>
  <si>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</si>
  <si>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</si>
  <si>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</si>
  <si>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</si>
  <si>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</si>
  <si>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</si>
  <si>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</si>
  <si>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</si>
  <si>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</si>
  <si>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</si>
  <si>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</si>
  <si>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</si>
  <si>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</si>
  <si>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</si>
  <si>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</si>
  <si>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</si>
  <si>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</si>
  <si>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</si>
  <si>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</si>
  <si>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</si>
  <si>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</si>
  <si>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</si>
  <si>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</si>
  <si>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</si>
  <si>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</si>
  <si>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</si>
  <si>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</si>
  <si>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</si>
  <si>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</si>
  <si>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</si>
  <si>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</si>
  <si>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</si>
  <si>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</si>
  <si>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</si>
  <si>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</si>
  <si>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</si>
  <si>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</si>
  <si>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</si>
  <si>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</si>
  <si>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</si>
  <si>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</si>
  <si>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</si>
  <si>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</si>
  <si>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</si>
  <si>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</si>
  <si>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</si>
  <si>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</si>
  <si>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</si>
  <si>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</si>
  <si>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</si>
  <si>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</si>
  <si>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</si>
  <si>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</si>
  <si>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</si>
  <si>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</si>
  <si>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</si>
  <si>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</si>
  <si>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</si>
  <si>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</si>
  <si>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</si>
  <si>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</si>
  <si>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</si>
  <si>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</si>
  <si>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</si>
  <si>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</si>
  <si>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</si>
  <si>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</si>
  <si>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</si>
  <si>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</si>
  <si>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</si>
  <si>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</si>
  <si>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</si>
  <si>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</si>
  <si>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</si>
  <si>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</si>
  <si>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</si>
  <si>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</si>
  <si>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</si>
  <si>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</si>
  <si>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</si>
  <si>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</si>
  <si>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</si>
  <si>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</si>
  <si>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</si>
  <si>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</si>
  <si>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</si>
  <si>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</si>
  <si>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</si>
  <si>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</si>
  <si>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</si>
  <si>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</si>
  <si>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</si>
  <si>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</si>
  <si>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</si>
  <si>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</si>
  <si>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</si>
  <si>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</si>
  <si>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</si>
  <si>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</si>
  <si>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</si>
  <si>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</si>
  <si>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</si>
  <si>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</si>
  <si>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</si>
  <si>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</si>
  <si>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</si>
  <si>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</si>
  <si>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</si>
  <si>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</si>
  <si>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</si>
  <si>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</si>
  <si>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</si>
  <si>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</si>
  <si>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</si>
  <si>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</si>
  <si>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</si>
  <si>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</si>
  <si>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</si>
  <si>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</si>
  <si>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</si>
  <si>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</si>
  <si>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</si>
  <si>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</si>
  <si>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</si>
  <si>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</si>
  <si>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</si>
  <si>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</si>
  <si>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</si>
  <si>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</si>
  <si>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</si>
  <si>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</si>
  <si>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</si>
  <si>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</si>
  <si>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</si>
  <si>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</si>
  <si>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</si>
  <si>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</si>
  <si>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</si>
  <si>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</si>
  <si>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</si>
  <si>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1080/3</t>
  </si>
  <si>
    <t>послуги сторонніх організацій</t>
  </si>
  <si>
    <t>ремонтне обслуговування</t>
  </si>
  <si>
    <t>Комунальне підприємство "Водно- спортивний комбінат" Дніпропетровської міської ради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</si>
  <si>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</si>
  <si>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</si>
  <si>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</si>
  <si>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</si>
  <si>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Баранов М.М.</t>
  </si>
  <si>
    <t>Директор  КП"ВСК"</t>
  </si>
  <si>
    <t>________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</si>
  <si>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</si>
  <si>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</si>
  <si>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</si>
  <si>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</si>
  <si>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</si>
  <si>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</si>
  <si>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</si>
  <si>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</si>
  <si>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</si>
  <si>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</si>
  <si>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 xml:space="preserve">      Загальна інформація про підприємство (резюме): Комунальне підприємство "Водно-спортивний комбінат" Дніпропетровської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</si>
  <si>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</si>
  <si>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</si>
  <si>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</si>
  <si>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</si>
  <si>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Коригування ПДВ</t>
  </si>
  <si>
    <t>3050/1</t>
  </si>
  <si>
    <t>3050/2</t>
  </si>
  <si>
    <t>3060/1</t>
  </si>
  <si>
    <t>3060/2</t>
  </si>
  <si>
    <t>3310/1</t>
  </si>
  <si>
    <t>1150/2</t>
  </si>
  <si>
    <t>дохід від цільового фінансування капітальних інвестицій</t>
  </si>
  <si>
    <t>3470/1</t>
  </si>
  <si>
    <t>фінансування капітальних видатків</t>
  </si>
  <si>
    <t>03564217</t>
  </si>
  <si>
    <t>93.19</t>
  </si>
  <si>
    <t>Комунальне підприємство</t>
  </si>
  <si>
    <t>Інша діяльність у сфері спорту</t>
  </si>
  <si>
    <t xml:space="preserve">                           32  комунальна</t>
  </si>
  <si>
    <t>Середньооблікова кількість штатних працівників:                     41 чоловік</t>
  </si>
  <si>
    <t>753-55-07;  753-58-57;   753-59-36</t>
  </si>
  <si>
    <t>Баранов Микола Миколайович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</si>
  <si>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</si>
  <si>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</si>
  <si>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Директор Департаменту гуманітарної політики</t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</si>
  <si>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</si>
  <si>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</si>
  <si>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</si>
  <si>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</si>
  <si>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</si>
  <si>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прізвище)1  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</si>
  <si>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</si>
  <si>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</si>
  <si>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</si>
  <si>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</si>
  <si>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</si>
  <si>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</si>
  <si>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</si>
  <si>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</si>
  <si>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</si>
  <si>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</si>
  <si>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</si>
  <si>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</si>
  <si>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</si>
  <si>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</si>
  <si>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</si>
  <si>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</si>
  <si>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</si>
  <si>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придбання човнів та моторів, обладнання фотофінішу</t>
  </si>
  <si>
    <t>виготовлення плотів та стійок під човни</t>
  </si>
  <si>
    <t xml:space="preserve">ЗАТВЕРДЖЕНО  </t>
  </si>
  <si>
    <t>Рішення виконавчого комітету міської ради                                           №________ від _________________ року</t>
  </si>
  <si>
    <t>49094, м.Дніпро, Соборний  район</t>
  </si>
  <si>
    <t>м.Дніпро,  вул.Набережна Перемоги,13</t>
  </si>
  <si>
    <t>ФІНАНСОВИЙ ПЛАН ПІДПРИЄМСТВА НА 2017 рік</t>
  </si>
  <si>
    <t xml:space="preserve">Газель А22R33-55PRO </t>
  </si>
  <si>
    <t>до фінансового плану на 2017 рік</t>
  </si>
  <si>
    <t>Фактичний показник за 
2015 минулий рік</t>
  </si>
  <si>
    <t>Плановий показник поточного
2016 року</t>
  </si>
  <si>
    <t>Плановий 2017 рік</t>
  </si>
  <si>
    <t>_______________________Глядчишин Г.В.</t>
  </si>
  <si>
    <t>Дніпровської міської ради</t>
  </si>
  <si>
    <t>(дата та номер рішення виконавчого комітету міської ради)</t>
  </si>
  <si>
    <t>до Порядку складання, затвердження та контролю виконання                                          фінансових планів підприємств комунальної власності територіальної      громади міста Дніпра</t>
  </si>
  <si>
    <r>
      <t xml:space="preserve">ПОГОДЖЕНО _____________________ Шикуленко О.В.   
</t>
    </r>
    <r>
      <rPr>
        <sz val="12"/>
        <rFont val="Times New Roman"/>
        <family val="1"/>
        <charset val="204"/>
      </rPr>
      <t>(прізвище та ініціали та підпис заступника міського голови за напрямом діяльності  підприємства)</t>
    </r>
  </si>
  <si>
    <t>Рік 2017</t>
  </si>
  <si>
    <t>Фактичний показник поточного року за останній звітній період 
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</si>
</sst>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_);_(* \(#,##0\);_(* &quot;-&quot;??_);_(@_)"/>
    <numFmt numFmtId="178" formatCode="0.000"/>
    <numFmt numFmtId="179" formatCode="#,##0.000"/>
  </numFmts>
  <fonts count="8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7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</cellStyleXfs>
  <cellXfs count="44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12" fillId="0" borderId="0" xfId="0" applyFont="1" applyFill="1"/>
    <xf numFmtId="169" fontId="5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169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2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left"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71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69" fontId="4" fillId="0" borderId="0" xfId="0" quotePrefix="1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69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69" fontId="7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9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178" fontId="5" fillId="29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" fontId="5" fillId="3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69" fontId="4" fillId="0" borderId="0" xfId="0" applyNumberFormat="1" applyFont="1" applyFill="1" applyBorder="1" applyAlignment="1" applyProtection="1">
      <alignment horizontal="center" vertical="center" wrapText="1"/>
    </xf>
    <xf numFmtId="169" fontId="4" fillId="0" borderId="0" xfId="0" applyNumberFormat="1" applyFont="1" applyFill="1" applyBorder="1" applyAlignment="1" applyProtection="1">
      <alignment horizontal="right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9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49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31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" xfId="0" applyFont="1" applyFill="1" applyBorder="1" applyAlignment="1" applyProtection="1">
      <alignment horizontal="left" vertical="center" wrapText="1"/>
      <protection locked="0"/>
    </xf>
    <xf numFmtId="1" fontId="5" fillId="33" borderId="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0" fontId="5" fillId="3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177" fontId="5" fillId="32" borderId="14" xfId="0" applyNumberFormat="1" applyFont="1" applyFill="1" applyBorder="1" applyAlignment="1" applyProtection="1">
      <alignment horizontal="center" vertical="center" wrapText="1"/>
    </xf>
    <xf numFmtId="177" fontId="5" fillId="32" borderId="16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29" borderId="3" xfId="0" applyNumberFormat="1" applyFont="1" applyFill="1" applyBorder="1" applyAlignment="1">
      <alignment horizontal="center" vertical="center" wrapText="1"/>
    </xf>
    <xf numFmtId="177" fontId="5" fillId="32" borderId="14" xfId="0" applyNumberFormat="1" applyFont="1" applyFill="1" applyBorder="1" applyAlignment="1" applyProtection="1">
      <alignment horizontal="center" vertical="center" wrapText="1"/>
    </xf>
    <xf numFmtId="177" fontId="5" fillId="32" borderId="1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vertical="center"/>
      <protection locked="0"/>
    </xf>
    <xf numFmtId="169" fontId="5" fillId="32" borderId="0" xfId="0" applyNumberFormat="1" applyFont="1" applyFill="1" applyBorder="1" applyAlignment="1" applyProtection="1">
      <alignment horizontal="right" vertical="center" wrapText="1"/>
      <protection locked="0"/>
    </xf>
    <xf numFmtId="169" fontId="4" fillId="32" borderId="0" xfId="0" applyNumberFormat="1" applyFont="1" applyFill="1" applyBorder="1" applyAlignment="1" applyProtection="1">
      <alignment horizontal="center"/>
      <protection locked="0"/>
    </xf>
    <xf numFmtId="169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32" borderId="0" xfId="0" applyNumberFormat="1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1" fontId="5" fillId="33" borderId="3" xfId="0" applyNumberFormat="1" applyFont="1" applyFill="1" applyBorder="1" applyAlignment="1">
      <alignment horizontal="center" vertical="center" wrapText="1"/>
    </xf>
    <xf numFmtId="1" fontId="4" fillId="33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17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0" fillId="0" borderId="0" xfId="0" applyFont="1" applyAlignment="1" applyProtection="1">
      <alignment horizontal="left" vertical="top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88" fillId="0" borderId="0" xfId="0" applyFont="1" applyAlignment="1" applyProtection="1">
      <alignment horizontal="left" vertical="top" wrapText="1"/>
      <protection locked="0"/>
    </xf>
    <xf numFmtId="0" fontId="82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169" fontId="5" fillId="0" borderId="0" xfId="0" quotePrefix="1" applyNumberFormat="1" applyFont="1" applyFill="1" applyBorder="1" applyAlignment="1" applyProtection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0" fillId="32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69" fontId="81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3" fontId="4" fillId="29" borderId="14" xfId="0" applyNumberFormat="1" applyFont="1" applyFill="1" applyBorder="1" applyAlignment="1" applyProtection="1">
      <alignment horizontal="center" vertical="center" wrapText="1"/>
    </xf>
    <xf numFmtId="3" fontId="4" fillId="29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177" fontId="5" fillId="32" borderId="14" xfId="0" applyNumberFormat="1" applyFont="1" applyFill="1" applyBorder="1" applyAlignment="1" applyProtection="1">
      <alignment horizontal="center" vertical="center" wrapText="1"/>
    </xf>
    <xf numFmtId="177" fontId="5" fillId="32" borderId="1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14" xfId="0" applyFont="1" applyFill="1" applyBorder="1" applyAlignment="1" applyProtection="1">
      <alignment horizontal="center" vertical="center" wrapText="1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29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" fontId="5" fillId="29" borderId="14" xfId="0" applyNumberFormat="1" applyFont="1" applyFill="1" applyBorder="1" applyAlignment="1">
      <alignment horizontal="center" vertical="center" wrapText="1"/>
    </xf>
    <xf numFmtId="1" fontId="5" fillId="29" borderId="15" xfId="0" applyNumberFormat="1" applyFont="1" applyFill="1" applyBorder="1" applyAlignment="1">
      <alignment horizontal="center" vertical="center" wrapText="1"/>
    </xf>
    <xf numFmtId="1" fontId="5" fillId="29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5" fillId="32" borderId="14" xfId="0" applyNumberFormat="1" applyFont="1" applyFill="1" applyBorder="1" applyAlignment="1">
      <alignment horizontal="center" vertical="center" wrapText="1"/>
    </xf>
    <xf numFmtId="1" fontId="5" fillId="32" borderId="15" xfId="0" applyNumberFormat="1" applyFont="1" applyFill="1" applyBorder="1" applyAlignment="1">
      <alignment horizontal="center" vertical="center" wrapText="1"/>
    </xf>
    <xf numFmtId="1" fontId="5" fillId="32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71" fillId="32" borderId="3" xfId="0" applyNumberFormat="1" applyFont="1" applyFill="1" applyBorder="1" applyAlignment="1">
      <alignment horizontal="left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256"/>
  <sheetViews>
    <sheetView view="pageBreakPreview" topLeftCell="A19" zoomScale="75" zoomScaleNormal="75" zoomScaleSheetLayoutView="75" workbookViewId="0">
      <selection activeCell="F83" sqref="F80:F83"/>
    </sheetView>
  </sheetViews>
  <sheetFormatPr defaultRowHeight="18.75"/>
  <cols>
    <col min="1" max="1" width="44.7109375" style="2" customWidth="1"/>
    <col min="2" max="2" width="14.42578125" style="25" customWidth="1"/>
    <col min="3" max="3" width="16.85546875" style="25" customWidth="1"/>
    <col min="4" max="4" width="14.5703125" style="25" customWidth="1"/>
    <col min="5" max="5" width="14.28515625" style="2" customWidth="1"/>
    <col min="6" max="6" width="13" style="2" customWidth="1"/>
    <col min="7" max="7" width="13.140625" style="2" customWidth="1"/>
    <col min="8" max="9" width="13.42578125" style="2" customWidth="1"/>
    <col min="10" max="10" width="13.140625" style="2" customWidth="1"/>
    <col min="11" max="11" width="10" style="2" customWidth="1"/>
    <col min="12" max="12" width="9.5703125" style="2" customWidth="1"/>
    <col min="13" max="14" width="9.140625" style="2"/>
    <col min="15" max="15" width="10.5703125" style="2" customWidth="1"/>
    <col min="16" max="16384" width="9.140625" style="2"/>
  </cols>
  <sheetData>
    <row r="1" spans="1:11">
      <c r="A1" s="108"/>
      <c r="B1" s="109"/>
      <c r="C1" s="109"/>
      <c r="D1" s="109"/>
      <c r="E1" s="108"/>
      <c r="F1" s="108"/>
      <c r="G1" s="108"/>
      <c r="H1" s="108"/>
      <c r="I1" s="108"/>
      <c r="J1" s="108"/>
    </row>
    <row r="2" spans="1:11" ht="18.75" customHeight="1">
      <c r="A2" s="285" t="s">
        <v>376</v>
      </c>
      <c r="B2" s="285"/>
      <c r="C2" s="111"/>
      <c r="D2" s="112"/>
      <c r="E2" s="274" t="s">
        <v>480</v>
      </c>
      <c r="F2" s="274"/>
      <c r="G2" s="274"/>
      <c r="H2" s="274"/>
      <c r="I2" s="274"/>
      <c r="J2" s="274"/>
      <c r="K2" s="274"/>
    </row>
    <row r="3" spans="1:11" ht="18.75" customHeight="1">
      <c r="A3" s="286" t="s">
        <v>441</v>
      </c>
      <c r="B3" s="286"/>
      <c r="C3" s="111"/>
      <c r="D3" s="114"/>
      <c r="E3" s="274"/>
      <c r="F3" s="274"/>
      <c r="G3" s="274"/>
      <c r="H3" s="274"/>
      <c r="I3" s="274"/>
      <c r="J3" s="274"/>
      <c r="K3" s="274"/>
    </row>
    <row r="4" spans="1:11" ht="18.75" customHeight="1">
      <c r="A4" s="286" t="s">
        <v>478</v>
      </c>
      <c r="B4" s="286"/>
      <c r="C4" s="111"/>
      <c r="D4" s="114"/>
      <c r="E4" s="274"/>
      <c r="F4" s="274"/>
      <c r="G4" s="274"/>
      <c r="H4" s="274"/>
      <c r="I4" s="274"/>
      <c r="J4" s="274"/>
      <c r="K4" s="274"/>
    </row>
    <row r="5" spans="1:11" ht="18.75" customHeight="1">
      <c r="A5" s="285" t="s">
        <v>477</v>
      </c>
      <c r="B5" s="285"/>
      <c r="C5" s="111"/>
      <c r="D5" s="114"/>
      <c r="E5" s="114"/>
      <c r="F5" s="114"/>
      <c r="G5" s="287"/>
      <c r="H5" s="287"/>
      <c r="I5" s="236"/>
      <c r="J5" s="236"/>
    </row>
    <row r="6" spans="1:11" ht="18.75" customHeight="1">
      <c r="A6" s="288" t="s">
        <v>377</v>
      </c>
      <c r="B6" s="288"/>
      <c r="C6" s="111"/>
      <c r="D6" s="115"/>
      <c r="E6" s="275" t="s">
        <v>467</v>
      </c>
      <c r="F6" s="275"/>
      <c r="G6" s="275"/>
      <c r="H6" s="275"/>
      <c r="I6" s="275"/>
      <c r="J6" s="275"/>
      <c r="K6" s="275"/>
    </row>
    <row r="7" spans="1:11" ht="44.25" customHeight="1">
      <c r="A7" s="288"/>
      <c r="B7" s="288"/>
      <c r="C7" s="111"/>
      <c r="D7" s="115"/>
      <c r="E7" s="289" t="s">
        <v>468</v>
      </c>
      <c r="F7" s="289"/>
      <c r="G7" s="289"/>
      <c r="H7" s="289"/>
      <c r="I7" s="289"/>
      <c r="J7" s="289"/>
      <c r="K7" s="289"/>
    </row>
    <row r="8" spans="1:11" ht="18.75" customHeight="1">
      <c r="A8" s="116" t="s">
        <v>346</v>
      </c>
      <c r="B8" s="110"/>
      <c r="C8" s="111"/>
      <c r="D8" s="115"/>
      <c r="E8" s="290" t="s">
        <v>479</v>
      </c>
      <c r="F8" s="290"/>
      <c r="G8" s="290"/>
      <c r="H8" s="290"/>
      <c r="I8" s="290"/>
      <c r="J8" s="290"/>
      <c r="K8" s="290"/>
    </row>
    <row r="9" spans="1:11" ht="18.75" customHeight="1">
      <c r="A9" s="110"/>
      <c r="B9" s="110"/>
      <c r="C9" s="111"/>
      <c r="D9" s="115"/>
      <c r="E9" s="274"/>
      <c r="F9" s="274"/>
      <c r="G9" s="274"/>
      <c r="H9" s="274"/>
      <c r="I9" s="274"/>
      <c r="J9" s="274"/>
      <c r="K9" s="274"/>
    </row>
    <row r="10" spans="1:11" ht="20.25">
      <c r="A10" s="110"/>
      <c r="B10" s="110"/>
      <c r="C10" s="111"/>
      <c r="D10" s="115"/>
      <c r="E10" s="112"/>
      <c r="F10" s="112"/>
      <c r="G10" s="112"/>
      <c r="H10" s="112"/>
      <c r="I10" s="112"/>
      <c r="J10" s="112"/>
    </row>
    <row r="11" spans="1:11" ht="61.5" customHeight="1">
      <c r="A11" s="110"/>
      <c r="B11" s="110"/>
      <c r="C11" s="111"/>
      <c r="D11" s="115"/>
      <c r="E11" s="275" t="s">
        <v>481</v>
      </c>
      <c r="F11" s="275"/>
      <c r="G11" s="275"/>
      <c r="H11" s="275"/>
      <c r="I11" s="275"/>
      <c r="J11" s="275"/>
      <c r="K11" s="275"/>
    </row>
    <row r="12" spans="1:11" ht="20.25" customHeight="1">
      <c r="A12" s="110"/>
      <c r="B12" s="110"/>
      <c r="C12" s="111"/>
      <c r="D12" s="115"/>
      <c r="E12" s="231"/>
      <c r="F12" s="231"/>
      <c r="G12" s="112"/>
      <c r="H12" s="112"/>
      <c r="I12" s="112"/>
      <c r="J12" s="112"/>
    </row>
    <row r="13" spans="1:11" ht="19.5" customHeight="1">
      <c r="A13" s="110"/>
      <c r="B13" s="110"/>
      <c r="C13" s="111"/>
      <c r="D13" s="115"/>
      <c r="E13" s="112"/>
      <c r="F13" s="112"/>
      <c r="G13" s="232"/>
      <c r="H13" s="231"/>
      <c r="I13" s="231"/>
      <c r="J13" s="231"/>
    </row>
    <row r="14" spans="1:11" ht="19.5" customHeight="1">
      <c r="A14" s="112"/>
      <c r="B14" s="117"/>
      <c r="C14" s="117"/>
      <c r="D14" s="117"/>
      <c r="E14" s="117"/>
      <c r="F14" s="117"/>
      <c r="G14" s="118"/>
      <c r="H14" s="118"/>
      <c r="I14" s="118"/>
      <c r="J14" s="118"/>
    </row>
    <row r="15" spans="1:11" ht="19.5" customHeight="1">
      <c r="A15" s="119"/>
      <c r="B15" s="271"/>
      <c r="C15" s="271"/>
      <c r="D15" s="271"/>
      <c r="E15" s="120"/>
      <c r="F15" s="120"/>
      <c r="G15" s="121"/>
      <c r="H15" s="214"/>
      <c r="I15" s="123" t="s">
        <v>482</v>
      </c>
      <c r="J15" s="124" t="s">
        <v>261</v>
      </c>
    </row>
    <row r="16" spans="1:11" ht="16.5" customHeight="1">
      <c r="A16" s="125" t="s">
        <v>14</v>
      </c>
      <c r="B16" s="270" t="s">
        <v>439</v>
      </c>
      <c r="C16" s="270"/>
      <c r="D16" s="270"/>
      <c r="E16" s="120"/>
      <c r="F16" s="120"/>
      <c r="G16" s="126"/>
      <c r="H16" s="127"/>
      <c r="I16" s="189" t="s">
        <v>145</v>
      </c>
      <c r="J16" s="212" t="s">
        <v>431</v>
      </c>
    </row>
    <row r="17" spans="1:10" ht="16.5" customHeight="1">
      <c r="A17" s="125" t="s">
        <v>15</v>
      </c>
      <c r="B17" s="270" t="s">
        <v>433</v>
      </c>
      <c r="C17" s="270"/>
      <c r="D17" s="270"/>
      <c r="E17" s="120"/>
      <c r="F17" s="120"/>
      <c r="G17" s="121"/>
      <c r="H17" s="122"/>
      <c r="I17" s="189" t="s">
        <v>144</v>
      </c>
      <c r="J17" s="190">
        <v>150</v>
      </c>
    </row>
    <row r="18" spans="1:10" ht="18.75" customHeight="1">
      <c r="A18" s="125" t="s">
        <v>19</v>
      </c>
      <c r="B18" s="270" t="s">
        <v>469</v>
      </c>
      <c r="C18" s="270"/>
      <c r="D18" s="270"/>
      <c r="E18" s="191"/>
      <c r="F18" s="120"/>
      <c r="G18" s="121"/>
      <c r="H18" s="122"/>
      <c r="I18" s="189" t="s">
        <v>143</v>
      </c>
      <c r="J18" s="190">
        <v>1210136900</v>
      </c>
    </row>
    <row r="19" spans="1:10" ht="19.5" customHeight="1">
      <c r="A19" s="125" t="s">
        <v>378</v>
      </c>
      <c r="B19" s="271"/>
      <c r="C19" s="271"/>
      <c r="D19" s="271"/>
      <c r="E19" s="271"/>
      <c r="F19" s="271"/>
      <c r="G19" s="271"/>
      <c r="H19" s="282"/>
      <c r="I19" s="189" t="s">
        <v>9</v>
      </c>
      <c r="J19" s="190"/>
    </row>
    <row r="20" spans="1:10" ht="18" customHeight="1">
      <c r="A20" s="125" t="s">
        <v>17</v>
      </c>
      <c r="B20" s="271"/>
      <c r="C20" s="271"/>
      <c r="D20" s="271"/>
      <c r="E20" s="120"/>
      <c r="F20" s="120"/>
      <c r="G20" s="126"/>
      <c r="H20" s="127"/>
      <c r="I20" s="189" t="s">
        <v>8</v>
      </c>
      <c r="J20" s="190">
        <v>91700</v>
      </c>
    </row>
    <row r="21" spans="1:10" ht="21" customHeight="1">
      <c r="A21" s="125" t="s">
        <v>16</v>
      </c>
      <c r="B21" s="270" t="s">
        <v>434</v>
      </c>
      <c r="C21" s="270"/>
      <c r="D21" s="270"/>
      <c r="E21" s="120"/>
      <c r="F21" s="120"/>
      <c r="G21" s="126"/>
      <c r="H21" s="128"/>
      <c r="I21" s="210" t="s">
        <v>10</v>
      </c>
      <c r="J21" s="190" t="s">
        <v>432</v>
      </c>
    </row>
    <row r="22" spans="1:10" ht="20.25" customHeight="1">
      <c r="A22" s="283" t="s">
        <v>379</v>
      </c>
      <c r="B22" s="271"/>
      <c r="C22" s="271"/>
      <c r="D22" s="271"/>
      <c r="E22" s="120"/>
      <c r="F22" s="120"/>
      <c r="G22" s="271" t="s">
        <v>206</v>
      </c>
      <c r="H22" s="272"/>
      <c r="I22" s="273"/>
      <c r="J22" s="211"/>
    </row>
    <row r="23" spans="1:10" ht="18.75" customHeight="1">
      <c r="A23" s="125" t="s">
        <v>20</v>
      </c>
      <c r="B23" s="270" t="s">
        <v>435</v>
      </c>
      <c r="C23" s="270"/>
      <c r="D23" s="270"/>
      <c r="E23" s="120"/>
      <c r="F23" s="120"/>
      <c r="G23" s="271" t="s">
        <v>207</v>
      </c>
      <c r="H23" s="272"/>
      <c r="I23" s="273"/>
      <c r="J23" s="211"/>
    </row>
    <row r="24" spans="1:10" ht="18" customHeight="1">
      <c r="A24" s="277" t="s">
        <v>436</v>
      </c>
      <c r="B24" s="270"/>
      <c r="C24" s="270"/>
      <c r="D24" s="270"/>
      <c r="E24" s="120"/>
      <c r="F24" s="120"/>
      <c r="G24" s="126"/>
      <c r="H24" s="126"/>
      <c r="I24" s="126"/>
      <c r="J24" s="127"/>
    </row>
    <row r="25" spans="1:10" ht="18.75" customHeight="1">
      <c r="A25" s="125" t="s">
        <v>11</v>
      </c>
      <c r="B25" s="270" t="s">
        <v>470</v>
      </c>
      <c r="C25" s="270"/>
      <c r="D25" s="270"/>
      <c r="E25" s="270"/>
      <c r="F25" s="191"/>
      <c r="G25" s="213"/>
      <c r="H25" s="121"/>
      <c r="I25" s="121"/>
      <c r="J25" s="122"/>
    </row>
    <row r="26" spans="1:10" ht="18" customHeight="1">
      <c r="A26" s="125" t="s">
        <v>12</v>
      </c>
      <c r="B26" s="270" t="s">
        <v>437</v>
      </c>
      <c r="C26" s="270"/>
      <c r="D26" s="270"/>
      <c r="E26" s="120"/>
      <c r="F26" s="120"/>
      <c r="G26" s="126"/>
      <c r="H26" s="126"/>
      <c r="I26" s="126"/>
      <c r="J26" s="127"/>
    </row>
    <row r="27" spans="1:10" ht="21" customHeight="1">
      <c r="A27" s="125" t="s">
        <v>13</v>
      </c>
      <c r="B27" s="270" t="s">
        <v>438</v>
      </c>
      <c r="C27" s="270"/>
      <c r="D27" s="270"/>
      <c r="E27" s="120"/>
      <c r="F27" s="120"/>
      <c r="G27" s="121"/>
      <c r="H27" s="121"/>
      <c r="I27" s="121"/>
      <c r="J27" s="122"/>
    </row>
    <row r="28" spans="1:10" ht="20.100000000000001" customHeight="1">
      <c r="B28" s="2"/>
      <c r="C28" s="2"/>
      <c r="D28" s="2"/>
    </row>
    <row r="29" spans="1:10" ht="19.5" customHeight="1">
      <c r="A29" s="66"/>
      <c r="B29" s="2"/>
      <c r="D29" s="2"/>
    </row>
    <row r="30" spans="1:10">
      <c r="A30" s="284" t="s">
        <v>471</v>
      </c>
      <c r="B30" s="284"/>
      <c r="C30" s="284"/>
      <c r="D30" s="284"/>
      <c r="E30" s="284"/>
      <c r="F30" s="284"/>
      <c r="G30" s="284"/>
      <c r="H30" s="284"/>
      <c r="I30" s="284"/>
      <c r="J30" s="284"/>
    </row>
    <row r="31" spans="1:10" ht="9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</row>
    <row r="32" spans="1:10">
      <c r="A32" s="284" t="s">
        <v>220</v>
      </c>
      <c r="B32" s="284"/>
      <c r="C32" s="284"/>
      <c r="D32" s="284"/>
      <c r="E32" s="284"/>
      <c r="F32" s="284"/>
      <c r="G32" s="284"/>
      <c r="H32" s="284"/>
      <c r="I32" s="284"/>
      <c r="J32" s="284"/>
    </row>
    <row r="33" spans="1:10" ht="12" customHeight="1">
      <c r="A33" s="193"/>
      <c r="B33" s="194"/>
      <c r="C33" s="195"/>
      <c r="D33" s="194"/>
      <c r="E33" s="194"/>
      <c r="F33" s="194"/>
      <c r="G33" s="194"/>
      <c r="H33" s="194"/>
      <c r="I33" s="194"/>
      <c r="J33" s="194"/>
    </row>
    <row r="34" spans="1:10" ht="41.25" customHeight="1">
      <c r="A34" s="294" t="s">
        <v>272</v>
      </c>
      <c r="B34" s="295" t="s">
        <v>18</v>
      </c>
      <c r="C34" s="280" t="s">
        <v>31</v>
      </c>
      <c r="D34" s="280" t="s">
        <v>39</v>
      </c>
      <c r="E34" s="295" t="s">
        <v>149</v>
      </c>
      <c r="F34" s="278" t="s">
        <v>181</v>
      </c>
      <c r="G34" s="296" t="s">
        <v>273</v>
      </c>
      <c r="H34" s="297"/>
      <c r="I34" s="297"/>
      <c r="J34" s="298"/>
    </row>
    <row r="35" spans="1:10" ht="54.75" customHeight="1">
      <c r="A35" s="294"/>
      <c r="B35" s="295"/>
      <c r="C35" s="281"/>
      <c r="D35" s="281"/>
      <c r="E35" s="295"/>
      <c r="F35" s="279"/>
      <c r="G35" s="97" t="s">
        <v>265</v>
      </c>
      <c r="H35" s="97" t="s">
        <v>266</v>
      </c>
      <c r="I35" s="97" t="s">
        <v>267</v>
      </c>
      <c r="J35" s="97" t="s">
        <v>354</v>
      </c>
    </row>
    <row r="36" spans="1:10" ht="20.100000000000001" customHeight="1">
      <c r="A36" s="96">
        <v>1</v>
      </c>
      <c r="B36" s="97">
        <v>2</v>
      </c>
      <c r="C36" s="97">
        <v>3</v>
      </c>
      <c r="D36" s="97">
        <v>4</v>
      </c>
      <c r="E36" s="97">
        <v>5</v>
      </c>
      <c r="F36" s="97">
        <v>6</v>
      </c>
      <c r="G36" s="97">
        <v>7</v>
      </c>
      <c r="H36" s="97">
        <v>8</v>
      </c>
      <c r="I36" s="97">
        <v>9</v>
      </c>
      <c r="J36" s="97">
        <v>10</v>
      </c>
    </row>
    <row r="37" spans="1:10" ht="24.95" customHeight="1">
      <c r="A37" s="299" t="s">
        <v>108</v>
      </c>
      <c r="B37" s="299"/>
      <c r="C37" s="299"/>
      <c r="D37" s="299"/>
      <c r="E37" s="299"/>
      <c r="F37" s="299"/>
      <c r="G37" s="299"/>
      <c r="H37" s="299"/>
      <c r="I37" s="299"/>
      <c r="J37" s="299"/>
    </row>
    <row r="38" spans="1:10" ht="37.5">
      <c r="A38" s="98" t="s">
        <v>221</v>
      </c>
      <c r="B38" s="96">
        <f>'I. Фін результат'!B7</f>
        <v>1000</v>
      </c>
      <c r="C38" s="182">
        <f>'I. Фін результат'!C7</f>
        <v>1044</v>
      </c>
      <c r="D38" s="182">
        <f>'I. Фін результат'!D7</f>
        <v>0</v>
      </c>
      <c r="E38" s="182">
        <f>'I. Фін результат'!I7</f>
        <v>1024</v>
      </c>
      <c r="F38" s="182">
        <f>'I. Фін результат'!E7</f>
        <v>924</v>
      </c>
      <c r="G38" s="196">
        <f>ROUND(E38*105.5%,0)</f>
        <v>1080</v>
      </c>
      <c r="H38" s="196">
        <f>ROUND(G38*105.2%,0)</f>
        <v>1136</v>
      </c>
      <c r="I38" s="196">
        <f t="shared" ref="I38:J38" si="0">ROUND(H38*105.2%,0)</f>
        <v>1195</v>
      </c>
      <c r="J38" s="196">
        <f t="shared" si="0"/>
        <v>1257</v>
      </c>
    </row>
    <row r="39" spans="1:10" ht="37.5">
      <c r="A39" s="98" t="s">
        <v>189</v>
      </c>
      <c r="B39" s="96">
        <f>'I. Фін результат'!B9</f>
        <v>1010</v>
      </c>
      <c r="C39" s="182">
        <f>'I. Фін результат'!C9</f>
        <v>1544</v>
      </c>
      <c r="D39" s="182">
        <f>'I. Фін результат'!D9</f>
        <v>0</v>
      </c>
      <c r="E39" s="182">
        <f>'I. Фін результат'!I9</f>
        <v>3841</v>
      </c>
      <c r="F39" s="182">
        <f>'I. Фін результат'!E9</f>
        <v>2319</v>
      </c>
      <c r="G39" s="196">
        <f>ROUND(E39*105.5%,0)</f>
        <v>4052</v>
      </c>
      <c r="H39" s="196">
        <f>ROUND(G39*105.2%,0)</f>
        <v>4263</v>
      </c>
      <c r="I39" s="196">
        <f t="shared" ref="I39:J41" si="1">ROUND(H39*105.2%,0)</f>
        <v>4485</v>
      </c>
      <c r="J39" s="196">
        <f t="shared" si="1"/>
        <v>4718</v>
      </c>
    </row>
    <row r="40" spans="1:10" ht="20.100000000000001" customHeight="1">
      <c r="A40" s="100" t="s">
        <v>304</v>
      </c>
      <c r="B40" s="96">
        <f>'I. Фін результат'!B19</f>
        <v>1020</v>
      </c>
      <c r="C40" s="182">
        <f>'I. Фін результат'!C19</f>
        <v>-500</v>
      </c>
      <c r="D40" s="182">
        <f>'I. Фін результат'!D19</f>
        <v>0</v>
      </c>
      <c r="E40" s="182">
        <f>'I. Фін результат'!I19</f>
        <v>-2817</v>
      </c>
      <c r="F40" s="182">
        <f>'I. Фін результат'!E19</f>
        <v>-1395</v>
      </c>
      <c r="G40" s="182">
        <f>G38-G39</f>
        <v>-2972</v>
      </c>
      <c r="H40" s="182">
        <f>H38-H39</f>
        <v>-3127</v>
      </c>
      <c r="I40" s="182">
        <f>I38-I39</f>
        <v>-3290</v>
      </c>
      <c r="J40" s="182">
        <f>J38-J39</f>
        <v>-3461</v>
      </c>
    </row>
    <row r="41" spans="1:10" ht="20.100000000000001" customHeight="1">
      <c r="A41" s="98" t="s">
        <v>154</v>
      </c>
      <c r="B41" s="96">
        <f>'I. Фін результат'!B24</f>
        <v>1040</v>
      </c>
      <c r="C41" s="182">
        <f>'I. Фін результат'!C24</f>
        <v>1676</v>
      </c>
      <c r="D41" s="182">
        <f>'I. Фін результат'!D24</f>
        <v>0</v>
      </c>
      <c r="E41" s="182">
        <f>'I. Фін результат'!I24</f>
        <v>2334</v>
      </c>
      <c r="F41" s="182">
        <f>'I. Фін результат'!E24</f>
        <v>2052</v>
      </c>
      <c r="G41" s="196">
        <f>ROUND(E41*105.5%,0)</f>
        <v>2462</v>
      </c>
      <c r="H41" s="196">
        <f>ROUND(G41*105.2%,0)</f>
        <v>2590</v>
      </c>
      <c r="I41" s="196">
        <f t="shared" si="1"/>
        <v>2725</v>
      </c>
      <c r="J41" s="196">
        <f t="shared" si="1"/>
        <v>2867</v>
      </c>
    </row>
    <row r="42" spans="1:10" ht="20.100000000000001" customHeight="1">
      <c r="A42" s="98" t="s">
        <v>151</v>
      </c>
      <c r="B42" s="96">
        <f>'I. Фін результат'!B48</f>
        <v>1070</v>
      </c>
      <c r="C42" s="182">
        <f>'I. Фін результат'!C48</f>
        <v>0</v>
      </c>
      <c r="D42" s="182">
        <f>'I. Фін результат'!D48</f>
        <v>0</v>
      </c>
      <c r="E42" s="182">
        <f>'I. Фін результат'!I48</f>
        <v>0</v>
      </c>
      <c r="F42" s="182">
        <f>'I. Фін результат'!E48</f>
        <v>0</v>
      </c>
      <c r="G42" s="196">
        <f t="shared" ref="G42:G43" si="2">ROUND(E42*105.5%,0)</f>
        <v>0</v>
      </c>
      <c r="H42" s="196">
        <f t="shared" ref="H42:J42" si="3">ROUND(G42*105.2%,0)</f>
        <v>0</v>
      </c>
      <c r="I42" s="196">
        <f t="shared" si="3"/>
        <v>0</v>
      </c>
      <c r="J42" s="196">
        <f t="shared" si="3"/>
        <v>0</v>
      </c>
    </row>
    <row r="43" spans="1:10" ht="20.100000000000001" customHeight="1">
      <c r="A43" s="98" t="s">
        <v>155</v>
      </c>
      <c r="B43" s="96">
        <f>'I. Фін результат'!B83</f>
        <v>1300</v>
      </c>
      <c r="C43" s="182">
        <f>'I. Фін результат'!C83</f>
        <v>2227</v>
      </c>
      <c r="D43" s="182">
        <f>'I. Фін результат'!D83</f>
        <v>0</v>
      </c>
      <c r="E43" s="182">
        <f>'I. Фін результат'!I83</f>
        <v>5228</v>
      </c>
      <c r="F43" s="182">
        <f>'I. Фін результат'!E83</f>
        <v>3993</v>
      </c>
      <c r="G43" s="196">
        <f t="shared" si="2"/>
        <v>5516</v>
      </c>
      <c r="H43" s="196">
        <f t="shared" ref="H43:J45" si="4">ROUND(G43*105.2%,0)</f>
        <v>5803</v>
      </c>
      <c r="I43" s="196">
        <f t="shared" si="4"/>
        <v>6105</v>
      </c>
      <c r="J43" s="196">
        <f t="shared" si="4"/>
        <v>6422</v>
      </c>
    </row>
    <row r="44" spans="1:10" ht="37.5">
      <c r="A44" s="101" t="s">
        <v>4</v>
      </c>
      <c r="B44" s="96">
        <f>'I. Фін результат'!B64</f>
        <v>1100</v>
      </c>
      <c r="C44" s="182">
        <f>'I. Фін результат'!C64</f>
        <v>51</v>
      </c>
      <c r="D44" s="182">
        <f>'I. Фін результат'!D64</f>
        <v>0</v>
      </c>
      <c r="E44" s="182">
        <f>'I. Фін результат'!I64</f>
        <v>77</v>
      </c>
      <c r="F44" s="182">
        <f>'I. Фін результат'!E64</f>
        <v>546</v>
      </c>
      <c r="G44" s="182">
        <f>G40-G41-G42+G43</f>
        <v>82</v>
      </c>
      <c r="H44" s="182">
        <f>H40-H41-H42+H43</f>
        <v>86</v>
      </c>
      <c r="I44" s="182">
        <f>I40-I41-I42+I43</f>
        <v>90</v>
      </c>
      <c r="J44" s="182">
        <f>J40-J41-J42+J43</f>
        <v>94</v>
      </c>
    </row>
    <row r="45" spans="1:10" ht="20.100000000000001" customHeight="1">
      <c r="A45" s="101" t="s">
        <v>156</v>
      </c>
      <c r="B45" s="96">
        <f>'I. Фін результат'!B94</f>
        <v>1410</v>
      </c>
      <c r="C45" s="182">
        <f>'I. Фін результат'!C94</f>
        <v>311</v>
      </c>
      <c r="D45" s="182">
        <f>'I. Фін результат'!D94</f>
        <v>0</v>
      </c>
      <c r="E45" s="182">
        <f>'I. Фін результат'!I94</f>
        <v>345</v>
      </c>
      <c r="F45" s="182">
        <f>'I. Фін результат'!E94</f>
        <v>1058</v>
      </c>
      <c r="G45" s="196">
        <f t="shared" ref="G45" si="5">ROUND(E45*105.5%,0)</f>
        <v>364</v>
      </c>
      <c r="H45" s="196">
        <f t="shared" si="4"/>
        <v>383</v>
      </c>
      <c r="I45" s="196">
        <f t="shared" si="4"/>
        <v>403</v>
      </c>
      <c r="J45" s="196">
        <f t="shared" si="4"/>
        <v>424</v>
      </c>
    </row>
    <row r="46" spans="1:10" ht="20.100000000000001" customHeight="1">
      <c r="A46" s="102" t="s">
        <v>243</v>
      </c>
      <c r="B46" s="96">
        <f>' V. Коефіцієнти'!B8</f>
        <v>5010</v>
      </c>
      <c r="C46" s="182">
        <f>' V. Коефіцієнти'!D8</f>
        <v>29.78927203065134</v>
      </c>
      <c r="D46" s="182"/>
      <c r="E46" s="182">
        <f>' V. Коефіцієнти'!G8</f>
        <v>33.69140625</v>
      </c>
      <c r="F46" s="182">
        <f>' V. Коефіцієнти'!F8</f>
        <v>114.5021645021645</v>
      </c>
      <c r="G46" s="196">
        <f t="shared" ref="G46:G48" si="6">ROUND(E46*105.5%,0)</f>
        <v>36</v>
      </c>
      <c r="H46" s="196">
        <f t="shared" ref="H46:J46" si="7">ROUND(G46*105.2%,0)</f>
        <v>38</v>
      </c>
      <c r="I46" s="196">
        <f t="shared" si="7"/>
        <v>40</v>
      </c>
      <c r="J46" s="196">
        <f t="shared" si="7"/>
        <v>42</v>
      </c>
    </row>
    <row r="47" spans="1:10" ht="37.5">
      <c r="A47" s="102" t="s">
        <v>157</v>
      </c>
      <c r="B47" s="96">
        <f>'I. Фін результат'!B84</f>
        <v>1310</v>
      </c>
      <c r="C47" s="182">
        <f>'I. Фін результат'!C84</f>
        <v>0</v>
      </c>
      <c r="D47" s="182">
        <f>'I. Фін результат'!D84</f>
        <v>0</v>
      </c>
      <c r="E47" s="182">
        <f>'I. Фін результат'!I84</f>
        <v>0</v>
      </c>
      <c r="F47" s="182">
        <f>'I. Фін результат'!E84</f>
        <v>0</v>
      </c>
      <c r="G47" s="196">
        <f t="shared" si="6"/>
        <v>0</v>
      </c>
      <c r="H47" s="196">
        <f t="shared" ref="H47:J47" si="8">ROUND(G47*105.2%,0)</f>
        <v>0</v>
      </c>
      <c r="I47" s="196">
        <f t="shared" si="8"/>
        <v>0</v>
      </c>
      <c r="J47" s="196">
        <f t="shared" si="8"/>
        <v>0</v>
      </c>
    </row>
    <row r="48" spans="1:10" ht="20.100000000000001" customHeight="1">
      <c r="A48" s="98" t="s">
        <v>248</v>
      </c>
      <c r="B48" s="96">
        <f>'I. Фін результат'!B85</f>
        <v>1320</v>
      </c>
      <c r="C48" s="182">
        <f>'I. Фін результат'!C85</f>
        <v>21</v>
      </c>
      <c r="D48" s="182">
        <f>'I. Фін результат'!D85</f>
        <v>0</v>
      </c>
      <c r="E48" s="182">
        <f>'I. Фін результат'!I85</f>
        <v>0</v>
      </c>
      <c r="F48" s="182">
        <f>'I. Фін результат'!E85</f>
        <v>0</v>
      </c>
      <c r="G48" s="196">
        <f t="shared" si="6"/>
        <v>0</v>
      </c>
      <c r="H48" s="196">
        <f t="shared" ref="H48:J48" si="9">ROUND(G48*105.2%,0)</f>
        <v>0</v>
      </c>
      <c r="I48" s="196">
        <f t="shared" si="9"/>
        <v>0</v>
      </c>
      <c r="J48" s="196">
        <f t="shared" si="9"/>
        <v>0</v>
      </c>
    </row>
    <row r="49" spans="1:10" ht="37.5">
      <c r="A49" s="101" t="s">
        <v>106</v>
      </c>
      <c r="B49" s="96">
        <f>'I. Фін результат'!B75</f>
        <v>1170</v>
      </c>
      <c r="C49" s="182">
        <f>'I. Фін результат'!C75</f>
        <v>72</v>
      </c>
      <c r="D49" s="182">
        <f>'I. Фін результат'!D75</f>
        <v>0</v>
      </c>
      <c r="E49" s="182">
        <f>'I. Фін результат'!I75</f>
        <v>77</v>
      </c>
      <c r="F49" s="182">
        <f>'I. Фін результат'!E75</f>
        <v>546</v>
      </c>
      <c r="G49" s="182">
        <f>G44+G47+G48</f>
        <v>82</v>
      </c>
      <c r="H49" s="182">
        <f>H44+H47+H48</f>
        <v>86</v>
      </c>
      <c r="I49" s="182">
        <f>I44+I47+I48</f>
        <v>90</v>
      </c>
      <c r="J49" s="182">
        <f>J44+J47+J48</f>
        <v>94</v>
      </c>
    </row>
    <row r="50" spans="1:10" ht="20.100000000000001" customHeight="1">
      <c r="A50" s="102" t="s">
        <v>152</v>
      </c>
      <c r="B50" s="96">
        <f>'I. Фін результат'!B76</f>
        <v>1180</v>
      </c>
      <c r="C50" s="182">
        <f>'I. Фін результат'!C76</f>
        <v>12.959999999999999</v>
      </c>
      <c r="D50" s="182">
        <f>'I. Фін результат'!D76</f>
        <v>0</v>
      </c>
      <c r="E50" s="182">
        <f>'I. Фін результат'!I76</f>
        <v>14</v>
      </c>
      <c r="F50" s="182">
        <f>'I. Фін результат'!E76</f>
        <v>98.28</v>
      </c>
      <c r="G50" s="196">
        <f>ROUND(G49*18%,0)</f>
        <v>15</v>
      </c>
      <c r="H50" s="196">
        <f t="shared" ref="H50:J50" si="10">ROUND(H49*18%,0)</f>
        <v>15</v>
      </c>
      <c r="I50" s="196">
        <f t="shared" si="10"/>
        <v>16</v>
      </c>
      <c r="J50" s="196">
        <f t="shared" si="10"/>
        <v>17</v>
      </c>
    </row>
    <row r="51" spans="1:10" ht="20.100000000000001" customHeight="1">
      <c r="A51" s="101" t="s">
        <v>244</v>
      </c>
      <c r="B51" s="96">
        <f>'I. Фін результат'!B78</f>
        <v>1200</v>
      </c>
      <c r="C51" s="182">
        <f>'I. Фін результат'!C78</f>
        <v>59.04</v>
      </c>
      <c r="D51" s="182">
        <f>'I. Фін результат'!D78</f>
        <v>0</v>
      </c>
      <c r="E51" s="182">
        <f>'I. Фін результат'!I78</f>
        <v>63</v>
      </c>
      <c r="F51" s="182">
        <f>'I. Фін результат'!E78</f>
        <v>447.72</v>
      </c>
      <c r="G51" s="182">
        <f>G49-G50</f>
        <v>67</v>
      </c>
      <c r="H51" s="182">
        <f>H49-H50</f>
        <v>71</v>
      </c>
      <c r="I51" s="182">
        <f>I49-I50</f>
        <v>74</v>
      </c>
      <c r="J51" s="182">
        <f>J49-J50</f>
        <v>77</v>
      </c>
    </row>
    <row r="52" spans="1:10" ht="20.100000000000001" customHeight="1">
      <c r="A52" s="102" t="s">
        <v>245</v>
      </c>
      <c r="B52" s="96">
        <f>' V. Коефіцієнти'!B11</f>
        <v>5040</v>
      </c>
      <c r="C52" s="182">
        <f>' V. Коефіцієнти'!D11</f>
        <v>5.6551724137931032E-2</v>
      </c>
      <c r="D52" s="182"/>
      <c r="E52" s="182">
        <f>' V. Коефіцієнти'!G11</f>
        <v>6.15234375E-2</v>
      </c>
      <c r="F52" s="182">
        <f>' V. Коефіцієнти'!F11</f>
        <v>0.48454545454545456</v>
      </c>
      <c r="G52" s="182">
        <f>G51/G38</f>
        <v>6.2037037037037036E-2</v>
      </c>
      <c r="H52" s="182">
        <f>H51/H38</f>
        <v>6.25E-2</v>
      </c>
      <c r="I52" s="182">
        <f>I51/I38</f>
        <v>6.1924686192468617E-2</v>
      </c>
      <c r="J52" s="182">
        <f>J51/J38</f>
        <v>6.1256961018297536E-2</v>
      </c>
    </row>
    <row r="53" spans="1:10" ht="24.95" customHeight="1">
      <c r="A53" s="276" t="s">
        <v>169</v>
      </c>
      <c r="B53" s="276"/>
      <c r="C53" s="276"/>
      <c r="D53" s="276"/>
      <c r="E53" s="276"/>
      <c r="F53" s="276"/>
      <c r="G53" s="276"/>
      <c r="H53" s="276"/>
      <c r="I53" s="276"/>
      <c r="J53" s="276"/>
    </row>
    <row r="54" spans="1:10" ht="20.100000000000001" customHeight="1">
      <c r="A54" s="103" t="s">
        <v>359</v>
      </c>
      <c r="B54" s="96">
        <f>'ІІ. Розр. з бюджетом'!B19</f>
        <v>2100</v>
      </c>
      <c r="C54" s="182">
        <f>'ІІ. Розр. з бюджетом'!C19</f>
        <v>0</v>
      </c>
      <c r="D54" s="182">
        <f>'ІІ. Розр. з бюджетом'!D19</f>
        <v>0</v>
      </c>
      <c r="E54" s="182">
        <f>'ІІ. Розр. з бюджетом'!I19</f>
        <v>41</v>
      </c>
      <c r="F54" s="182">
        <f>'ІІ. Розр. з бюджетом'!E19</f>
        <v>295</v>
      </c>
      <c r="G54" s="196">
        <f>ROUND(G51*66%,0)</f>
        <v>44</v>
      </c>
      <c r="H54" s="196">
        <f t="shared" ref="H54:J54" si="11">ROUND(H51*66%,0)</f>
        <v>47</v>
      </c>
      <c r="I54" s="196">
        <f t="shared" si="11"/>
        <v>49</v>
      </c>
      <c r="J54" s="196">
        <f t="shared" si="11"/>
        <v>51</v>
      </c>
    </row>
    <row r="55" spans="1:10" ht="20.100000000000001" customHeight="1">
      <c r="A55" s="104" t="s">
        <v>168</v>
      </c>
      <c r="B55" s="96">
        <f>'ІІ. Розр. з бюджетом'!B22</f>
        <v>2110</v>
      </c>
      <c r="C55" s="182">
        <f>'ІІ. Розр. з бюджетом'!C22</f>
        <v>12.959999999999999</v>
      </c>
      <c r="D55" s="182">
        <f>'ІІ. Розр. з бюджетом'!D22</f>
        <v>0</v>
      </c>
      <c r="E55" s="182">
        <f>'ІІ. Розр. з бюджетом'!I22</f>
        <v>14</v>
      </c>
      <c r="F55" s="182">
        <f>'ІІ. Розр. з бюджетом'!E22</f>
        <v>98.28</v>
      </c>
      <c r="G55" s="196">
        <f>G50</f>
        <v>15</v>
      </c>
      <c r="H55" s="196">
        <f t="shared" ref="H55:J55" si="12">H50</f>
        <v>15</v>
      </c>
      <c r="I55" s="196">
        <f t="shared" si="12"/>
        <v>16</v>
      </c>
      <c r="J55" s="196">
        <f t="shared" si="12"/>
        <v>17</v>
      </c>
    </row>
    <row r="56" spans="1:10" ht="56.25">
      <c r="A56" s="104" t="s">
        <v>355</v>
      </c>
      <c r="B56" s="96" t="s">
        <v>246</v>
      </c>
      <c r="C56" s="182">
        <f>SUM('ІІ. Розр. з бюджетом'!C23,'ІІ. Розр. з бюджетом'!C24)</f>
        <v>45</v>
      </c>
      <c r="D56" s="182">
        <f>SUM('ІІ. Розр. з бюджетом'!D23,'ІІ. Розр. з бюджетом'!D24)</f>
        <v>0</v>
      </c>
      <c r="E56" s="182">
        <f>'ІІ. Розр. з бюджетом'!I23+'ІІ. Розр. з бюджетом'!I24</f>
        <v>59.2</v>
      </c>
      <c r="F56" s="182">
        <f>SUM('ІІ. Розр. з бюджетом'!E23,'ІІ. Розр. з бюджетом'!E24)</f>
        <v>59</v>
      </c>
      <c r="G56" s="196">
        <f t="shared" ref="G56" si="13">ROUND(E56*105.5%,0)</f>
        <v>62</v>
      </c>
      <c r="H56" s="196">
        <f t="shared" ref="H56:J56" si="14">ROUND(G56*105.2%,0)</f>
        <v>65</v>
      </c>
      <c r="I56" s="196">
        <f t="shared" si="14"/>
        <v>68</v>
      </c>
      <c r="J56" s="196">
        <f t="shared" si="14"/>
        <v>72</v>
      </c>
    </row>
    <row r="57" spans="1:10" ht="56.25">
      <c r="A57" s="103" t="s">
        <v>360</v>
      </c>
      <c r="B57" s="96">
        <f>'ІІ. Розр. з бюджетом'!B25</f>
        <v>2140</v>
      </c>
      <c r="C57" s="182">
        <f>'ІІ. Розр. з бюджетом'!C25</f>
        <v>179</v>
      </c>
      <c r="D57" s="182">
        <f>'ІІ. Розр. з бюджетом'!D25</f>
        <v>0</v>
      </c>
      <c r="E57" s="182">
        <f>'ІІ. Розр. з бюджетом'!I25</f>
        <v>753</v>
      </c>
      <c r="F57" s="182">
        <f>'ІІ. Розр. з бюджетом'!E25</f>
        <v>362.435</v>
      </c>
      <c r="G57" s="196">
        <f t="shared" ref="G57:G58" si="15">ROUND(E57*105.5%,0)</f>
        <v>794</v>
      </c>
      <c r="H57" s="196">
        <f t="shared" ref="H57:J57" si="16">ROUND(G57*105.2%,0)</f>
        <v>835</v>
      </c>
      <c r="I57" s="196">
        <f t="shared" si="16"/>
        <v>878</v>
      </c>
      <c r="J57" s="196">
        <f t="shared" si="16"/>
        <v>924</v>
      </c>
    </row>
    <row r="58" spans="1:10" ht="39" customHeight="1">
      <c r="A58" s="103" t="s">
        <v>90</v>
      </c>
      <c r="B58" s="96">
        <f>'ІІ. Розр. з бюджетом'!B37</f>
        <v>2150</v>
      </c>
      <c r="C58" s="182">
        <f>'ІІ. Розр. з бюджетом'!C37</f>
        <v>387</v>
      </c>
      <c r="D58" s="182">
        <f>'ІІ. Розр. з бюджетом'!D37</f>
        <v>0</v>
      </c>
      <c r="E58" s="182">
        <f>'ІІ. Розр. з бюджетом'!I37</f>
        <v>840</v>
      </c>
      <c r="F58" s="182">
        <f>'ІІ. Розр. з бюджетом'!E37</f>
        <v>393</v>
      </c>
      <c r="G58" s="196">
        <f t="shared" si="15"/>
        <v>886</v>
      </c>
      <c r="H58" s="196">
        <f t="shared" ref="H58:J58" si="17">ROUND(G58*105.2%,0)</f>
        <v>932</v>
      </c>
      <c r="I58" s="196">
        <f t="shared" si="17"/>
        <v>980</v>
      </c>
      <c r="J58" s="196">
        <f t="shared" si="17"/>
        <v>1031</v>
      </c>
    </row>
    <row r="59" spans="1:10" ht="20.100000000000001" customHeight="1">
      <c r="A59" s="105" t="s">
        <v>361</v>
      </c>
      <c r="B59" s="96">
        <f>'ІІ. Розр. з бюджетом'!B38</f>
        <v>2200</v>
      </c>
      <c r="C59" s="182">
        <f>'ІІ. Розр. з бюджетом'!C38</f>
        <v>623.96</v>
      </c>
      <c r="D59" s="182">
        <f>'ІІ. Розр. з бюджетом'!D38</f>
        <v>0</v>
      </c>
      <c r="E59" s="182">
        <f>'ІІ. Розр. з бюджетом'!I38</f>
        <v>1707.2</v>
      </c>
      <c r="F59" s="182">
        <f>'ІІ. Розр. з бюджетом'!E38</f>
        <v>1207.7149999999999</v>
      </c>
      <c r="G59" s="182">
        <f>SUM(G54:G58)</f>
        <v>1801</v>
      </c>
      <c r="H59" s="182">
        <f>SUM(H54:H58)</f>
        <v>1894</v>
      </c>
      <c r="I59" s="182">
        <f>SUM(I54:I58)</f>
        <v>1991</v>
      </c>
      <c r="J59" s="182">
        <f>SUM(J54:J58)</f>
        <v>2095</v>
      </c>
    </row>
    <row r="60" spans="1:10" ht="24.95" customHeight="1">
      <c r="A60" s="276" t="s">
        <v>167</v>
      </c>
      <c r="B60" s="276"/>
      <c r="C60" s="276"/>
      <c r="D60" s="276"/>
      <c r="E60" s="276"/>
      <c r="F60" s="276"/>
      <c r="G60" s="276"/>
      <c r="H60" s="276"/>
      <c r="I60" s="276"/>
      <c r="J60" s="276"/>
    </row>
    <row r="61" spans="1:10" ht="20.100000000000001" customHeight="1">
      <c r="A61" s="105" t="s">
        <v>158</v>
      </c>
      <c r="B61" s="96">
        <f>'ІІІ. Рух грош. коштів'!B77</f>
        <v>3600</v>
      </c>
      <c r="C61" s="182">
        <f>'ІІІ. Рух грош. коштів'!C77</f>
        <v>164</v>
      </c>
      <c r="D61" s="182">
        <f>'ІІІ. Рух грош. коштів'!D77</f>
        <v>0</v>
      </c>
      <c r="E61" s="182">
        <f>'ІІІ. Рух грош. коштів'!I77</f>
        <v>576.76000000000022</v>
      </c>
      <c r="F61" s="182">
        <f>'ІІІ. Рух грош. коштів'!E77</f>
        <v>499.03999999999996</v>
      </c>
      <c r="G61" s="182">
        <f>E66</f>
        <v>861.76000000000022</v>
      </c>
      <c r="H61" s="182">
        <f>G66</f>
        <v>1161.7600000000002</v>
      </c>
      <c r="I61" s="182">
        <f>H66</f>
        <v>1476.7600000000002</v>
      </c>
      <c r="J61" s="182">
        <f>I66</f>
        <v>1807.7600000000002</v>
      </c>
    </row>
    <row r="62" spans="1:10" ht="37.5">
      <c r="A62" s="103" t="s">
        <v>159</v>
      </c>
      <c r="B62" s="96">
        <f>'ІІІ. Рух грош. коштів'!B27</f>
        <v>3090</v>
      </c>
      <c r="C62" s="182">
        <f>'ІІІ. Рух грош. коштів'!C27</f>
        <v>596.04</v>
      </c>
      <c r="D62" s="182">
        <f>'ІІІ. Рух грош. коштів'!D27</f>
        <v>0</v>
      </c>
      <c r="E62" s="182">
        <f>'ІІІ. Рух грош. коштів'!I27</f>
        <v>331</v>
      </c>
      <c r="F62" s="182">
        <f>'ІІІ. Рух грош. коштів'!E27</f>
        <v>372.72</v>
      </c>
      <c r="G62" s="196">
        <f t="shared" ref="G62" si="18">ROUND(E62*105.5%,0)</f>
        <v>349</v>
      </c>
      <c r="H62" s="196">
        <f t="shared" ref="H62:J62" si="19">ROUND(G62*105.2%,0)</f>
        <v>367</v>
      </c>
      <c r="I62" s="196">
        <f t="shared" si="19"/>
        <v>386</v>
      </c>
      <c r="J62" s="196">
        <f t="shared" si="19"/>
        <v>406</v>
      </c>
    </row>
    <row r="63" spans="1:10" ht="37.5">
      <c r="A63" s="103" t="s">
        <v>249</v>
      </c>
      <c r="B63" s="96">
        <f>'ІІІ. Рух грош. коштів'!B47</f>
        <v>3320</v>
      </c>
      <c r="C63" s="182">
        <f>'ІІІ. Рух грош. коштів'!C47</f>
        <v>-261</v>
      </c>
      <c r="D63" s="182">
        <f>'ІІІ. Рух грош. коштів'!D47</f>
        <v>0</v>
      </c>
      <c r="E63" s="182">
        <f>'ІІІ. Рух грош. коштів'!I47</f>
        <v>-7000</v>
      </c>
      <c r="F63" s="182">
        <f>'ІІІ. Рух грош. коштів'!E47</f>
        <v>-8729</v>
      </c>
      <c r="G63" s="196">
        <f t="shared" ref="G63:G65" si="20">ROUND(E63*105.5%,0)</f>
        <v>-7385</v>
      </c>
      <c r="H63" s="196">
        <f t="shared" ref="H63:J63" si="21">ROUND(G63*105.2%,0)</f>
        <v>-7769</v>
      </c>
      <c r="I63" s="196">
        <f t="shared" si="21"/>
        <v>-8173</v>
      </c>
      <c r="J63" s="196">
        <f t="shared" si="21"/>
        <v>-8598</v>
      </c>
    </row>
    <row r="64" spans="1:10" ht="37.5">
      <c r="A64" s="103" t="s">
        <v>160</v>
      </c>
      <c r="B64" s="96">
        <f>'ІІІ. Рух грош. коштів'!B75</f>
        <v>3580</v>
      </c>
      <c r="C64" s="182">
        <f>'ІІІ. Рух грош. коштів'!C75</f>
        <v>0</v>
      </c>
      <c r="D64" s="182">
        <f>'ІІІ. Рух грош. коштів'!D75</f>
        <v>0</v>
      </c>
      <c r="E64" s="182">
        <f>'ІІІ. Рух грош. коштів'!I75</f>
        <v>6954</v>
      </c>
      <c r="F64" s="182">
        <f>'ІІІ. Рух грош. коштів'!E75</f>
        <v>8434</v>
      </c>
      <c r="G64" s="196">
        <f t="shared" si="20"/>
        <v>7336</v>
      </c>
      <c r="H64" s="196">
        <f t="shared" ref="H64:J64" si="22">ROUND(G64*105.2%,0)</f>
        <v>7717</v>
      </c>
      <c r="I64" s="196">
        <f t="shared" si="22"/>
        <v>8118</v>
      </c>
      <c r="J64" s="196">
        <f t="shared" si="22"/>
        <v>8540</v>
      </c>
    </row>
    <row r="65" spans="1:10" ht="37.5">
      <c r="A65" s="103" t="s">
        <v>184</v>
      </c>
      <c r="B65" s="96">
        <f>'ІІІ. Рух грош. коштів'!B78</f>
        <v>3610</v>
      </c>
      <c r="C65" s="182">
        <f>'ІІІ. Рух грош. коштів'!C78</f>
        <v>0</v>
      </c>
      <c r="D65" s="182">
        <f>'ІІІ. Рух грош. коштів'!D78</f>
        <v>0</v>
      </c>
      <c r="E65" s="182">
        <f>'ІІІ. Рух грош. коштів'!I78</f>
        <v>0</v>
      </c>
      <c r="F65" s="182">
        <f>'ІІІ. Рух грош. коштів'!E78</f>
        <v>0</v>
      </c>
      <c r="G65" s="196">
        <f t="shared" si="20"/>
        <v>0</v>
      </c>
      <c r="H65" s="196">
        <f t="shared" ref="H65:J65" si="23">ROUND(G65*105.2%,0)</f>
        <v>0</v>
      </c>
      <c r="I65" s="196">
        <f t="shared" si="23"/>
        <v>0</v>
      </c>
      <c r="J65" s="196">
        <f t="shared" si="23"/>
        <v>0</v>
      </c>
    </row>
    <row r="66" spans="1:10" ht="20.100000000000001" customHeight="1">
      <c r="A66" s="105" t="s">
        <v>161</v>
      </c>
      <c r="B66" s="96">
        <f>'ІІІ. Рух грош. коштів'!B79</f>
        <v>3620</v>
      </c>
      <c r="C66" s="182">
        <f>'ІІІ. Рух грош. коштів'!C79</f>
        <v>499.03999999999996</v>
      </c>
      <c r="D66" s="182">
        <f>'ІІІ. Рух грош. коштів'!D79</f>
        <v>0</v>
      </c>
      <c r="E66" s="182">
        <f>'ІІІ. Рух грош. коштів'!I79</f>
        <v>861.76000000000022</v>
      </c>
      <c r="F66" s="182">
        <f>'ІІІ. Рух грош. коштів'!E79</f>
        <v>576.76000000000022</v>
      </c>
      <c r="G66" s="182">
        <f>SUM(G61:G65)</f>
        <v>1161.7600000000002</v>
      </c>
      <c r="H66" s="182">
        <f>SUM(H61:H65)</f>
        <v>1476.7600000000002</v>
      </c>
      <c r="I66" s="182">
        <f>SUM(I61:I65)</f>
        <v>1807.7600000000002</v>
      </c>
      <c r="J66" s="182">
        <f>SUM(J61:J65)</f>
        <v>2155.7600000000002</v>
      </c>
    </row>
    <row r="67" spans="1:10" ht="24.95" customHeight="1">
      <c r="A67" s="301" t="s">
        <v>228</v>
      </c>
      <c r="B67" s="302"/>
      <c r="C67" s="302"/>
      <c r="D67" s="302"/>
      <c r="E67" s="302"/>
      <c r="F67" s="302"/>
      <c r="G67" s="302"/>
      <c r="H67" s="302"/>
      <c r="I67" s="302"/>
      <c r="J67" s="303"/>
    </row>
    <row r="68" spans="1:10" ht="20.100000000000001" customHeight="1">
      <c r="A68" s="103" t="s">
        <v>227</v>
      </c>
      <c r="B68" s="96">
        <f>'IV. Кап. інвестиції'!B6</f>
        <v>4000</v>
      </c>
      <c r="C68" s="182">
        <f>'IV. Кап. інвестиції'!C6</f>
        <v>222</v>
      </c>
      <c r="D68" s="182">
        <f>'IV. Кап. інвестиції'!D6</f>
        <v>0</v>
      </c>
      <c r="E68" s="182">
        <f>'IV. Кап. інвестиції'!I6</f>
        <v>5833</v>
      </c>
      <c r="F68" s="182">
        <f>'IV. Кап. інвестиції'!E6</f>
        <v>7274</v>
      </c>
      <c r="G68" s="196">
        <f t="shared" ref="G68" si="24">ROUND(E68*105.5%,0)</f>
        <v>6154</v>
      </c>
      <c r="H68" s="196">
        <f t="shared" ref="H68:J68" si="25">ROUND(G68*105.2%,0)</f>
        <v>6474</v>
      </c>
      <c r="I68" s="196">
        <f t="shared" si="25"/>
        <v>6811</v>
      </c>
      <c r="J68" s="196">
        <f t="shared" si="25"/>
        <v>7165</v>
      </c>
    </row>
    <row r="69" spans="1:10" ht="24.95" customHeight="1">
      <c r="A69" s="300" t="s">
        <v>231</v>
      </c>
      <c r="B69" s="300"/>
      <c r="C69" s="300"/>
      <c r="D69" s="300"/>
      <c r="E69" s="300"/>
      <c r="F69" s="300"/>
      <c r="G69" s="300"/>
      <c r="H69" s="300"/>
      <c r="I69" s="300"/>
      <c r="J69" s="300"/>
    </row>
    <row r="70" spans="1:10" ht="20.100000000000001" customHeight="1">
      <c r="A70" s="103" t="s">
        <v>187</v>
      </c>
      <c r="B70" s="96">
        <f>' V. Коефіцієнти'!B9</f>
        <v>5020</v>
      </c>
      <c r="C70" s="188">
        <f>' V. Коефіцієнти'!D9</f>
        <v>3.5964912280701754E-3</v>
      </c>
      <c r="D70" s="188"/>
      <c r="E70" s="188">
        <f>' V. Коефіцієнти'!G9</f>
        <v>2.6794828172847906E-3</v>
      </c>
      <c r="F70" s="188">
        <f>' V. Коефіцієнти'!F9</f>
        <v>2.7273391812865498E-2</v>
      </c>
      <c r="G70" s="99" t="s">
        <v>240</v>
      </c>
      <c r="H70" s="99" t="s">
        <v>240</v>
      </c>
      <c r="I70" s="99" t="s">
        <v>240</v>
      </c>
      <c r="J70" s="99" t="s">
        <v>240</v>
      </c>
    </row>
    <row r="71" spans="1:10" ht="37.5">
      <c r="A71" s="103" t="s">
        <v>183</v>
      </c>
      <c r="B71" s="96">
        <f>' V. Коефіцієнти'!B10</f>
        <v>5030</v>
      </c>
      <c r="C71" s="188">
        <f>' V. Коефіцієнти'!D10</f>
        <v>0.11310344827586206</v>
      </c>
      <c r="D71" s="188"/>
      <c r="E71" s="188">
        <f>' V. Коефіцієнти'!G10</f>
        <v>8.3510074231177098E-3</v>
      </c>
      <c r="F71" s="188">
        <f>' V. Коефіцієнти'!F10</f>
        <v>0.85770114942528741</v>
      </c>
      <c r="G71" s="99" t="s">
        <v>240</v>
      </c>
      <c r="H71" s="99" t="s">
        <v>240</v>
      </c>
      <c r="I71" s="99" t="s">
        <v>240</v>
      </c>
      <c r="J71" s="99" t="s">
        <v>240</v>
      </c>
    </row>
    <row r="72" spans="1:10" ht="20.100000000000001" customHeight="1">
      <c r="A72" s="103" t="s">
        <v>247</v>
      </c>
      <c r="B72" s="96">
        <f>' V. Коефіцієнти'!B14</f>
        <v>5110</v>
      </c>
      <c r="C72" s="188">
        <f>' V. Коефіцієнти'!D14</f>
        <v>3.2842582106455263E-2</v>
      </c>
      <c r="D72" s="188"/>
      <c r="E72" s="188">
        <f>' V. Коефіцієнти'!G14</f>
        <v>0.47244488977955912</v>
      </c>
      <c r="F72" s="188">
        <f>' V. Коефіцієнти'!F14</f>
        <v>3.2842582106455263E-2</v>
      </c>
      <c r="G72" s="99" t="s">
        <v>240</v>
      </c>
      <c r="H72" s="99" t="s">
        <v>240</v>
      </c>
      <c r="I72" s="99" t="s">
        <v>240</v>
      </c>
      <c r="J72" s="99" t="s">
        <v>240</v>
      </c>
    </row>
    <row r="73" spans="1:10" ht="24.95" customHeight="1">
      <c r="A73" s="276" t="s">
        <v>230</v>
      </c>
      <c r="B73" s="276"/>
      <c r="C73" s="276"/>
      <c r="D73" s="276"/>
      <c r="E73" s="276"/>
      <c r="F73" s="276"/>
      <c r="G73" s="276"/>
      <c r="H73" s="276"/>
      <c r="I73" s="276"/>
      <c r="J73" s="276"/>
    </row>
    <row r="74" spans="1:10" ht="20.100000000000001" customHeight="1">
      <c r="A74" s="103" t="s">
        <v>162</v>
      </c>
      <c r="B74" s="96">
        <v>6000</v>
      </c>
      <c r="C74" s="196">
        <v>15392</v>
      </c>
      <c r="D74" s="196"/>
      <c r="E74" s="196">
        <f>F74+'IV. Кап. інвестиції'!I6-'I. Фін результат'!I101</f>
        <v>20957</v>
      </c>
      <c r="F74" s="227">
        <v>15392</v>
      </c>
      <c r="G74" s="106" t="s">
        <v>240</v>
      </c>
      <c r="H74" s="106" t="s">
        <v>240</v>
      </c>
      <c r="I74" s="106" t="s">
        <v>240</v>
      </c>
      <c r="J74" s="106" t="s">
        <v>240</v>
      </c>
    </row>
    <row r="75" spans="1:10" ht="20.100000000000001" customHeight="1">
      <c r="A75" s="103" t="s">
        <v>163</v>
      </c>
      <c r="B75" s="96">
        <v>6010</v>
      </c>
      <c r="C75" s="196">
        <v>1024</v>
      </c>
      <c r="D75" s="196"/>
      <c r="E75" s="227">
        <f>E83+E80-E74</f>
        <v>2555</v>
      </c>
      <c r="F75" s="227">
        <v>1024</v>
      </c>
      <c r="G75" s="106" t="s">
        <v>240</v>
      </c>
      <c r="H75" s="106" t="s">
        <v>240</v>
      </c>
      <c r="I75" s="106" t="s">
        <v>240</v>
      </c>
      <c r="J75" s="106" t="s">
        <v>240</v>
      </c>
    </row>
    <row r="76" spans="1:10" ht="37.5">
      <c r="A76" s="103" t="s">
        <v>274</v>
      </c>
      <c r="B76" s="96">
        <v>6020</v>
      </c>
      <c r="C76" s="196">
        <v>499</v>
      </c>
      <c r="D76" s="196"/>
      <c r="E76" s="196">
        <f>'ІІІ. Рух грош. коштів'!I79</f>
        <v>861.76000000000022</v>
      </c>
      <c r="F76" s="227">
        <v>499</v>
      </c>
      <c r="G76" s="106" t="s">
        <v>240</v>
      </c>
      <c r="H76" s="106" t="s">
        <v>240</v>
      </c>
      <c r="I76" s="106" t="s">
        <v>240</v>
      </c>
      <c r="J76" s="106" t="s">
        <v>240</v>
      </c>
    </row>
    <row r="77" spans="1:10" s="5" customFormat="1" ht="20.100000000000001" customHeight="1">
      <c r="A77" s="105" t="s">
        <v>278</v>
      </c>
      <c r="B77" s="96">
        <v>6030</v>
      </c>
      <c r="C77" s="197">
        <f>C74+C75</f>
        <v>16416</v>
      </c>
      <c r="D77" s="197"/>
      <c r="E77" s="197">
        <f>E74+E75</f>
        <v>23512</v>
      </c>
      <c r="F77" s="227">
        <f>F74+F75</f>
        <v>16416</v>
      </c>
      <c r="G77" s="106" t="s">
        <v>240</v>
      </c>
      <c r="H77" s="106" t="s">
        <v>240</v>
      </c>
      <c r="I77" s="106" t="s">
        <v>240</v>
      </c>
      <c r="J77" s="106" t="s">
        <v>240</v>
      </c>
    </row>
    <row r="78" spans="1:10" ht="20.100000000000001" customHeight="1">
      <c r="A78" s="103" t="s">
        <v>185</v>
      </c>
      <c r="B78" s="96">
        <v>6040</v>
      </c>
      <c r="C78" s="196">
        <v>11820</v>
      </c>
      <c r="D78" s="196"/>
      <c r="E78" s="196">
        <v>11820</v>
      </c>
      <c r="F78" s="227">
        <v>11820</v>
      </c>
      <c r="G78" s="106" t="s">
        <v>240</v>
      </c>
      <c r="H78" s="106" t="s">
        <v>240</v>
      </c>
      <c r="I78" s="106" t="s">
        <v>240</v>
      </c>
      <c r="J78" s="106" t="s">
        <v>240</v>
      </c>
    </row>
    <row r="79" spans="1:10" ht="20.100000000000001" customHeight="1">
      <c r="A79" s="103" t="s">
        <v>186</v>
      </c>
      <c r="B79" s="96">
        <v>6050</v>
      </c>
      <c r="C79" s="196">
        <v>4074</v>
      </c>
      <c r="D79" s="196"/>
      <c r="E79" s="196">
        <v>4148</v>
      </c>
      <c r="F79" s="227">
        <v>4074</v>
      </c>
      <c r="G79" s="106" t="s">
        <v>240</v>
      </c>
      <c r="H79" s="106" t="s">
        <v>240</v>
      </c>
      <c r="I79" s="106" t="s">
        <v>240</v>
      </c>
      <c r="J79" s="106" t="s">
        <v>240</v>
      </c>
    </row>
    <row r="80" spans="1:10" s="5" customFormat="1" ht="20.100000000000001" customHeight="1">
      <c r="A80" s="105" t="s">
        <v>277</v>
      </c>
      <c r="B80" s="96">
        <v>6060</v>
      </c>
      <c r="C80" s="182">
        <f>SUM(C78:C79)</f>
        <v>15894</v>
      </c>
      <c r="D80" s="182"/>
      <c r="E80" s="182">
        <f>SUM(E78:E79)</f>
        <v>15968</v>
      </c>
      <c r="F80" s="227">
        <f>SUM(F78:F79)</f>
        <v>15894</v>
      </c>
      <c r="G80" s="106" t="s">
        <v>240</v>
      </c>
      <c r="H80" s="106" t="s">
        <v>240</v>
      </c>
      <c r="I80" s="106" t="s">
        <v>240</v>
      </c>
      <c r="J80" s="106" t="s">
        <v>240</v>
      </c>
    </row>
    <row r="81" spans="1:10" ht="20.100000000000001" customHeight="1">
      <c r="A81" s="103" t="s">
        <v>275</v>
      </c>
      <c r="B81" s="96">
        <v>6070</v>
      </c>
      <c r="C81" s="196">
        <v>0</v>
      </c>
      <c r="D81" s="196"/>
      <c r="E81" s="196">
        <v>0</v>
      </c>
      <c r="F81" s="227">
        <v>0</v>
      </c>
      <c r="G81" s="106" t="s">
        <v>240</v>
      </c>
      <c r="H81" s="106" t="s">
        <v>240</v>
      </c>
      <c r="I81" s="106" t="s">
        <v>240</v>
      </c>
      <c r="J81" s="106" t="s">
        <v>240</v>
      </c>
    </row>
    <row r="82" spans="1:10" ht="20.100000000000001" customHeight="1">
      <c r="A82" s="103" t="s">
        <v>276</v>
      </c>
      <c r="B82" s="96">
        <v>6080</v>
      </c>
      <c r="C82" s="196">
        <v>0</v>
      </c>
      <c r="D82" s="196"/>
      <c r="E82" s="196">
        <v>0</v>
      </c>
      <c r="F82" s="227">
        <v>0</v>
      </c>
      <c r="G82" s="106" t="s">
        <v>240</v>
      </c>
      <c r="H82" s="106" t="s">
        <v>240</v>
      </c>
      <c r="I82" s="106" t="s">
        <v>240</v>
      </c>
      <c r="J82" s="106" t="s">
        <v>240</v>
      </c>
    </row>
    <row r="83" spans="1:10" s="5" customFormat="1" ht="20.100000000000001" customHeight="1">
      <c r="A83" s="105" t="s">
        <v>164</v>
      </c>
      <c r="B83" s="96">
        <v>6090</v>
      </c>
      <c r="C83" s="196">
        <v>522</v>
      </c>
      <c r="D83" s="196"/>
      <c r="E83" s="196">
        <f>F83+'I. Фін результат'!I79-'ІІ. Розр. з бюджетом'!I19+'ІІІ. Рух грош. коштів'!I46</f>
        <v>7544</v>
      </c>
      <c r="F83" s="227">
        <v>522</v>
      </c>
      <c r="G83" s="106" t="s">
        <v>240</v>
      </c>
      <c r="H83" s="106" t="s">
        <v>240</v>
      </c>
      <c r="I83" s="106" t="s">
        <v>240</v>
      </c>
      <c r="J83" s="106" t="s">
        <v>240</v>
      </c>
    </row>
    <row r="84" spans="1:10" s="5" customFormat="1" ht="24.95" customHeight="1">
      <c r="A84" s="198"/>
      <c r="B84" s="199"/>
      <c r="C84" s="200"/>
      <c r="D84" s="201"/>
      <c r="E84" s="201"/>
      <c r="F84" s="201"/>
      <c r="G84" s="202"/>
      <c r="H84" s="202"/>
      <c r="I84" s="202"/>
      <c r="J84" s="202"/>
    </row>
    <row r="85" spans="1:10" ht="24.95" customHeight="1">
      <c r="A85" s="203"/>
      <c r="B85" s="199"/>
      <c r="C85" s="202"/>
      <c r="D85" s="204"/>
      <c r="E85" s="204"/>
      <c r="F85" s="204"/>
      <c r="G85" s="204"/>
      <c r="H85" s="204"/>
      <c r="I85" s="204"/>
      <c r="J85" s="204"/>
    </row>
    <row r="86" spans="1:10" ht="26.25" customHeight="1">
      <c r="A86" s="205" t="s">
        <v>404</v>
      </c>
      <c r="B86" s="206"/>
      <c r="C86" s="291" t="s">
        <v>405</v>
      </c>
      <c r="D86" s="292"/>
      <c r="E86" s="207"/>
      <c r="F86" s="207"/>
      <c r="G86" s="293" t="s">
        <v>403</v>
      </c>
      <c r="H86" s="293"/>
      <c r="I86" s="293"/>
      <c r="J86" s="193"/>
    </row>
    <row r="87" spans="1:10" s="1" customFormat="1" ht="21" customHeight="1">
      <c r="A87" s="208" t="s">
        <v>380</v>
      </c>
      <c r="B87" s="193"/>
      <c r="C87" s="268" t="s">
        <v>84</v>
      </c>
      <c r="D87" s="268"/>
      <c r="E87" s="194"/>
      <c r="F87" s="194"/>
      <c r="G87" s="269" t="s">
        <v>115</v>
      </c>
      <c r="H87" s="269"/>
      <c r="I87" s="269"/>
      <c r="J87" s="209">
        <v>1</v>
      </c>
    </row>
    <row r="89" spans="1:10">
      <c r="A89" s="50"/>
    </row>
    <row r="90" spans="1:10">
      <c r="A90" s="50"/>
    </row>
    <row r="91" spans="1:10">
      <c r="A91" s="50"/>
    </row>
    <row r="92" spans="1:10" s="25" customFormat="1">
      <c r="A92" s="50"/>
      <c r="E92" s="2"/>
      <c r="F92" s="2"/>
      <c r="G92" s="2"/>
      <c r="H92" s="2"/>
      <c r="I92" s="2"/>
      <c r="J92" s="2"/>
    </row>
    <row r="93" spans="1:10" s="25" customFormat="1">
      <c r="A93" s="50"/>
      <c r="E93" s="2"/>
      <c r="F93" s="2"/>
      <c r="G93" s="2"/>
      <c r="H93" s="2"/>
      <c r="I93" s="2"/>
      <c r="J93" s="2"/>
    </row>
    <row r="94" spans="1:10" s="25" customFormat="1">
      <c r="A94" s="50"/>
      <c r="E94" s="2"/>
      <c r="F94" s="2"/>
      <c r="G94" s="2"/>
      <c r="H94" s="2"/>
      <c r="I94" s="2"/>
      <c r="J94" s="2"/>
    </row>
    <row r="95" spans="1:10" s="25" customFormat="1">
      <c r="A95" s="50"/>
      <c r="E95" s="2"/>
      <c r="F95" s="2"/>
      <c r="G95" s="2"/>
      <c r="H95" s="2"/>
      <c r="I95" s="2"/>
      <c r="J95" s="2"/>
    </row>
    <row r="96" spans="1:10" s="25" customFormat="1">
      <c r="A96" s="50"/>
      <c r="E96" s="2"/>
      <c r="F96" s="2"/>
      <c r="G96" s="2"/>
      <c r="H96" s="2"/>
      <c r="I96" s="2"/>
      <c r="J96" s="2"/>
    </row>
    <row r="97" spans="1:10" s="25" customFormat="1">
      <c r="A97" s="50"/>
      <c r="E97" s="2"/>
      <c r="F97" s="2"/>
      <c r="G97" s="2"/>
      <c r="H97" s="2"/>
      <c r="I97" s="2"/>
      <c r="J97" s="2"/>
    </row>
    <row r="98" spans="1:10" s="25" customFormat="1">
      <c r="A98" s="50"/>
      <c r="E98" s="2"/>
      <c r="F98" s="2"/>
      <c r="G98" s="2"/>
      <c r="H98" s="2"/>
      <c r="I98" s="2"/>
      <c r="J98" s="2"/>
    </row>
    <row r="99" spans="1:10" s="25" customFormat="1">
      <c r="A99" s="50"/>
      <c r="E99" s="2"/>
      <c r="F99" s="2"/>
      <c r="G99" s="2"/>
      <c r="H99" s="2"/>
      <c r="I99" s="2"/>
      <c r="J99" s="2"/>
    </row>
    <row r="100" spans="1:10" s="25" customFormat="1">
      <c r="A100" s="50"/>
      <c r="E100" s="2"/>
      <c r="F100" s="2"/>
      <c r="G100" s="2"/>
      <c r="H100" s="2"/>
      <c r="I100" s="2"/>
      <c r="J100" s="2"/>
    </row>
    <row r="101" spans="1:10" s="25" customFormat="1">
      <c r="A101" s="50"/>
      <c r="E101" s="2"/>
      <c r="F101" s="2"/>
      <c r="G101" s="2"/>
      <c r="H101" s="2"/>
      <c r="I101" s="2"/>
      <c r="J101" s="2"/>
    </row>
    <row r="102" spans="1:10" s="25" customFormat="1">
      <c r="A102" s="50"/>
      <c r="E102" s="2"/>
      <c r="F102" s="2"/>
      <c r="G102" s="2"/>
      <c r="H102" s="2"/>
      <c r="I102" s="2"/>
      <c r="J102" s="2"/>
    </row>
    <row r="103" spans="1:10" s="25" customFormat="1">
      <c r="A103" s="50"/>
      <c r="E103" s="2"/>
      <c r="F103" s="2"/>
      <c r="G103" s="2"/>
      <c r="H103" s="2"/>
      <c r="I103" s="2"/>
      <c r="J103" s="2"/>
    </row>
    <row r="104" spans="1:10" s="25" customFormat="1">
      <c r="A104" s="50"/>
      <c r="E104" s="2"/>
      <c r="F104" s="2"/>
      <c r="G104" s="2"/>
      <c r="H104" s="2"/>
      <c r="I104" s="2"/>
      <c r="J104" s="2"/>
    </row>
    <row r="105" spans="1:10" s="25" customFormat="1">
      <c r="A105" s="50"/>
      <c r="E105" s="2"/>
      <c r="F105" s="2"/>
      <c r="G105" s="2"/>
      <c r="H105" s="2"/>
      <c r="I105" s="2"/>
      <c r="J105" s="2"/>
    </row>
    <row r="106" spans="1:10" s="25" customFormat="1">
      <c r="A106" s="50"/>
      <c r="E106" s="2"/>
      <c r="F106" s="2"/>
      <c r="G106" s="2"/>
      <c r="H106" s="2"/>
      <c r="I106" s="2"/>
      <c r="J106" s="2"/>
    </row>
    <row r="107" spans="1:10" s="25" customFormat="1">
      <c r="A107" s="50"/>
      <c r="E107" s="2"/>
      <c r="F107" s="2"/>
      <c r="G107" s="2"/>
      <c r="H107" s="2"/>
      <c r="I107" s="2"/>
      <c r="J107" s="2"/>
    </row>
    <row r="108" spans="1:10" s="25" customFormat="1">
      <c r="A108" s="50"/>
      <c r="E108" s="2"/>
      <c r="F108" s="2"/>
      <c r="G108" s="2"/>
      <c r="H108" s="2"/>
      <c r="I108" s="2"/>
      <c r="J108" s="2"/>
    </row>
    <row r="109" spans="1:10" s="25" customFormat="1">
      <c r="A109" s="50"/>
      <c r="E109" s="2"/>
      <c r="F109" s="2"/>
      <c r="G109" s="2"/>
      <c r="H109" s="2"/>
      <c r="I109" s="2"/>
      <c r="J109" s="2"/>
    </row>
    <row r="110" spans="1:10" s="25" customFormat="1">
      <c r="A110" s="50"/>
      <c r="E110" s="2"/>
      <c r="F110" s="2"/>
      <c r="G110" s="2"/>
      <c r="H110" s="2"/>
      <c r="I110" s="2"/>
      <c r="J110" s="2"/>
    </row>
    <row r="111" spans="1:10" s="25" customFormat="1">
      <c r="A111" s="50"/>
      <c r="E111" s="2"/>
      <c r="F111" s="2"/>
      <c r="G111" s="2"/>
      <c r="H111" s="2"/>
      <c r="I111" s="2"/>
      <c r="J111" s="2"/>
    </row>
    <row r="112" spans="1:10" s="25" customFormat="1">
      <c r="A112" s="50"/>
      <c r="E112" s="2"/>
      <c r="F112" s="2"/>
      <c r="G112" s="2"/>
      <c r="H112" s="2"/>
      <c r="I112" s="2"/>
      <c r="J112" s="2"/>
    </row>
    <row r="113" spans="1:10" s="25" customFormat="1">
      <c r="A113" s="50"/>
      <c r="E113" s="2"/>
      <c r="F113" s="2"/>
      <c r="G113" s="2"/>
      <c r="H113" s="2"/>
      <c r="I113" s="2"/>
      <c r="J113" s="2"/>
    </row>
    <row r="114" spans="1:10" s="25" customFormat="1">
      <c r="A114" s="50"/>
      <c r="E114" s="2"/>
      <c r="F114" s="2"/>
      <c r="G114" s="2"/>
      <c r="H114" s="2"/>
      <c r="I114" s="2"/>
      <c r="J114" s="2"/>
    </row>
    <row r="115" spans="1:10" s="25" customFormat="1">
      <c r="A115" s="50"/>
      <c r="E115" s="2"/>
      <c r="F115" s="2"/>
      <c r="G115" s="2"/>
      <c r="H115" s="2"/>
      <c r="I115" s="2"/>
      <c r="J115" s="2"/>
    </row>
    <row r="116" spans="1:10" s="25" customFormat="1">
      <c r="A116" s="50"/>
      <c r="E116" s="2"/>
      <c r="F116" s="2"/>
      <c r="G116" s="2"/>
      <c r="H116" s="2"/>
      <c r="I116" s="2"/>
      <c r="J116" s="2"/>
    </row>
    <row r="117" spans="1:10" s="25" customFormat="1">
      <c r="A117" s="50"/>
      <c r="E117" s="2"/>
      <c r="F117" s="2"/>
      <c r="G117" s="2"/>
      <c r="H117" s="2"/>
      <c r="I117" s="2"/>
      <c r="J117" s="2"/>
    </row>
    <row r="118" spans="1:10" s="25" customFormat="1">
      <c r="A118" s="50"/>
      <c r="E118" s="2"/>
      <c r="F118" s="2"/>
      <c r="G118" s="2"/>
      <c r="H118" s="2"/>
      <c r="I118" s="2"/>
      <c r="J118" s="2"/>
    </row>
    <row r="119" spans="1:10" s="25" customFormat="1">
      <c r="A119" s="50"/>
      <c r="E119" s="2"/>
      <c r="F119" s="2"/>
      <c r="G119" s="2"/>
      <c r="H119" s="2"/>
      <c r="I119" s="2"/>
      <c r="J119" s="2"/>
    </row>
    <row r="120" spans="1:10" s="25" customFormat="1">
      <c r="A120" s="50"/>
      <c r="E120" s="2"/>
      <c r="F120" s="2"/>
      <c r="G120" s="2"/>
      <c r="H120" s="2"/>
      <c r="I120" s="2"/>
      <c r="J120" s="2"/>
    </row>
    <row r="121" spans="1:10" s="25" customFormat="1">
      <c r="A121" s="50"/>
      <c r="E121" s="2"/>
      <c r="F121" s="2"/>
      <c r="G121" s="2"/>
      <c r="H121" s="2"/>
      <c r="I121" s="2"/>
      <c r="J121" s="2"/>
    </row>
    <row r="122" spans="1:10" s="25" customFormat="1">
      <c r="A122" s="50"/>
      <c r="E122" s="2"/>
      <c r="F122" s="2"/>
      <c r="G122" s="2"/>
      <c r="H122" s="2"/>
      <c r="I122" s="2"/>
      <c r="J122" s="2"/>
    </row>
    <row r="123" spans="1:10" s="25" customFormat="1">
      <c r="A123" s="50"/>
      <c r="E123" s="2"/>
      <c r="F123" s="2"/>
      <c r="G123" s="2"/>
      <c r="H123" s="2"/>
      <c r="I123" s="2"/>
      <c r="J123" s="2"/>
    </row>
    <row r="124" spans="1:10" s="25" customFormat="1">
      <c r="A124" s="50"/>
      <c r="E124" s="2"/>
      <c r="F124" s="2"/>
      <c r="G124" s="2"/>
      <c r="H124" s="2"/>
      <c r="I124" s="2"/>
      <c r="J124" s="2"/>
    </row>
    <row r="125" spans="1:10" s="25" customFormat="1">
      <c r="A125" s="50"/>
      <c r="E125" s="2"/>
      <c r="F125" s="2"/>
      <c r="G125" s="2"/>
      <c r="H125" s="2"/>
      <c r="I125" s="2"/>
      <c r="J125" s="2"/>
    </row>
    <row r="126" spans="1:10" s="25" customFormat="1">
      <c r="A126" s="50"/>
      <c r="E126" s="2"/>
      <c r="F126" s="2"/>
      <c r="G126" s="2"/>
      <c r="H126" s="2"/>
      <c r="I126" s="2"/>
      <c r="J126" s="2"/>
    </row>
    <row r="127" spans="1:10" s="25" customFormat="1">
      <c r="A127" s="50"/>
      <c r="E127" s="2"/>
      <c r="F127" s="2"/>
      <c r="G127" s="2"/>
      <c r="H127" s="2"/>
      <c r="I127" s="2"/>
      <c r="J127" s="2"/>
    </row>
    <row r="128" spans="1:10" s="25" customFormat="1">
      <c r="A128" s="50"/>
      <c r="E128" s="2"/>
      <c r="F128" s="2"/>
      <c r="G128" s="2"/>
      <c r="H128" s="2"/>
      <c r="I128" s="2"/>
      <c r="J128" s="2"/>
    </row>
    <row r="129" spans="1:10" s="25" customFormat="1">
      <c r="A129" s="50"/>
      <c r="E129" s="2"/>
      <c r="F129" s="2"/>
      <c r="G129" s="2"/>
      <c r="H129" s="2"/>
      <c r="I129" s="2"/>
      <c r="J129" s="2"/>
    </row>
    <row r="130" spans="1:10" s="25" customFormat="1">
      <c r="A130" s="50"/>
      <c r="E130" s="2"/>
      <c r="F130" s="2"/>
      <c r="G130" s="2"/>
      <c r="H130" s="2"/>
      <c r="I130" s="2"/>
      <c r="J130" s="2"/>
    </row>
    <row r="131" spans="1:10" s="25" customFormat="1">
      <c r="A131" s="50"/>
      <c r="E131" s="2"/>
      <c r="F131" s="2"/>
      <c r="G131" s="2"/>
      <c r="H131" s="2"/>
      <c r="I131" s="2"/>
      <c r="J131" s="2"/>
    </row>
    <row r="132" spans="1:10" s="25" customFormat="1">
      <c r="A132" s="50"/>
      <c r="E132" s="2"/>
      <c r="F132" s="2"/>
      <c r="G132" s="2"/>
      <c r="H132" s="2"/>
      <c r="I132" s="2"/>
      <c r="J132" s="2"/>
    </row>
    <row r="133" spans="1:10" s="25" customFormat="1">
      <c r="A133" s="50"/>
      <c r="E133" s="2"/>
      <c r="F133" s="2"/>
      <c r="G133" s="2"/>
      <c r="H133" s="2"/>
      <c r="I133" s="2"/>
      <c r="J133" s="2"/>
    </row>
    <row r="134" spans="1:10" s="25" customFormat="1">
      <c r="A134" s="50"/>
      <c r="E134" s="2"/>
      <c r="F134" s="2"/>
      <c r="G134" s="2"/>
      <c r="H134" s="2"/>
      <c r="I134" s="2"/>
      <c r="J134" s="2"/>
    </row>
    <row r="135" spans="1:10" s="25" customFormat="1">
      <c r="A135" s="50"/>
      <c r="E135" s="2"/>
      <c r="F135" s="2"/>
      <c r="G135" s="2"/>
      <c r="H135" s="2"/>
      <c r="I135" s="2"/>
      <c r="J135" s="2"/>
    </row>
    <row r="136" spans="1:10" s="25" customFormat="1">
      <c r="A136" s="50"/>
      <c r="E136" s="2"/>
      <c r="F136" s="2"/>
      <c r="G136" s="2"/>
      <c r="H136" s="2"/>
      <c r="I136" s="2"/>
      <c r="J136" s="2"/>
    </row>
    <row r="137" spans="1:10" s="25" customFormat="1">
      <c r="A137" s="50"/>
      <c r="E137" s="2"/>
      <c r="F137" s="2"/>
      <c r="G137" s="2"/>
      <c r="H137" s="2"/>
      <c r="I137" s="2"/>
      <c r="J137" s="2"/>
    </row>
    <row r="138" spans="1:10" s="25" customFormat="1">
      <c r="A138" s="50"/>
      <c r="E138" s="2"/>
      <c r="F138" s="2"/>
      <c r="G138" s="2"/>
      <c r="H138" s="2"/>
      <c r="I138" s="2"/>
      <c r="J138" s="2"/>
    </row>
    <row r="139" spans="1:10" s="25" customFormat="1">
      <c r="A139" s="50"/>
      <c r="E139" s="2"/>
      <c r="F139" s="2"/>
      <c r="G139" s="2"/>
      <c r="H139" s="2"/>
      <c r="I139" s="2"/>
      <c r="J139" s="2"/>
    </row>
    <row r="140" spans="1:10" s="25" customFormat="1">
      <c r="A140" s="50"/>
      <c r="E140" s="2"/>
      <c r="F140" s="2"/>
      <c r="G140" s="2"/>
      <c r="H140" s="2"/>
      <c r="I140" s="2"/>
      <c r="J140" s="2"/>
    </row>
    <row r="141" spans="1:10" s="25" customFormat="1">
      <c r="A141" s="50"/>
      <c r="E141" s="2"/>
      <c r="F141" s="2"/>
      <c r="G141" s="2"/>
      <c r="H141" s="2"/>
      <c r="I141" s="2"/>
      <c r="J141" s="2"/>
    </row>
    <row r="142" spans="1:10" s="25" customFormat="1">
      <c r="A142" s="50"/>
      <c r="E142" s="2"/>
      <c r="F142" s="2"/>
      <c r="G142" s="2"/>
      <c r="H142" s="2"/>
      <c r="I142" s="2"/>
      <c r="J142" s="2"/>
    </row>
    <row r="143" spans="1:10" s="25" customFormat="1">
      <c r="A143" s="50"/>
      <c r="E143" s="2"/>
      <c r="F143" s="2"/>
      <c r="G143" s="2"/>
      <c r="H143" s="2"/>
      <c r="I143" s="2"/>
      <c r="J143" s="2"/>
    </row>
    <row r="144" spans="1:10" s="25" customFormat="1">
      <c r="A144" s="50"/>
      <c r="E144" s="2"/>
      <c r="F144" s="2"/>
      <c r="G144" s="2"/>
      <c r="H144" s="2"/>
      <c r="I144" s="2"/>
      <c r="J144" s="2"/>
    </row>
    <row r="145" spans="1:10" s="25" customFormat="1">
      <c r="A145" s="50"/>
      <c r="E145" s="2"/>
      <c r="F145" s="2"/>
      <c r="G145" s="2"/>
      <c r="H145" s="2"/>
      <c r="I145" s="2"/>
      <c r="J145" s="2"/>
    </row>
    <row r="146" spans="1:10" s="25" customFormat="1">
      <c r="A146" s="50"/>
      <c r="E146" s="2"/>
      <c r="F146" s="2"/>
      <c r="G146" s="2"/>
      <c r="H146" s="2"/>
      <c r="I146" s="2"/>
      <c r="J146" s="2"/>
    </row>
    <row r="147" spans="1:10" s="25" customFormat="1">
      <c r="A147" s="50"/>
      <c r="E147" s="2"/>
      <c r="F147" s="2"/>
      <c r="G147" s="2"/>
      <c r="H147" s="2"/>
      <c r="I147" s="2"/>
      <c r="J147" s="2"/>
    </row>
    <row r="148" spans="1:10" s="25" customFormat="1">
      <c r="A148" s="50"/>
      <c r="E148" s="2"/>
      <c r="F148" s="2"/>
      <c r="G148" s="2"/>
      <c r="H148" s="2"/>
      <c r="I148" s="2"/>
      <c r="J148" s="2"/>
    </row>
    <row r="149" spans="1:10" s="25" customFormat="1">
      <c r="A149" s="50"/>
      <c r="E149" s="2"/>
      <c r="F149" s="2"/>
      <c r="G149" s="2"/>
      <c r="H149" s="2"/>
      <c r="I149" s="2"/>
      <c r="J149" s="2"/>
    </row>
    <row r="150" spans="1:10" s="25" customFormat="1">
      <c r="A150" s="50"/>
      <c r="E150" s="2"/>
      <c r="F150" s="2"/>
      <c r="G150" s="2"/>
      <c r="H150" s="2"/>
      <c r="I150" s="2"/>
      <c r="J150" s="2"/>
    </row>
    <row r="151" spans="1:10" s="25" customFormat="1">
      <c r="A151" s="50"/>
      <c r="E151" s="2"/>
      <c r="F151" s="2"/>
      <c r="G151" s="2"/>
      <c r="H151" s="2"/>
      <c r="I151" s="2"/>
      <c r="J151" s="2"/>
    </row>
    <row r="152" spans="1:10" s="25" customFormat="1">
      <c r="A152" s="50"/>
      <c r="E152" s="2"/>
      <c r="F152" s="2"/>
      <c r="G152" s="2"/>
      <c r="H152" s="2"/>
      <c r="I152" s="2"/>
      <c r="J152" s="2"/>
    </row>
    <row r="153" spans="1:10" s="25" customFormat="1">
      <c r="A153" s="50"/>
      <c r="E153" s="2"/>
      <c r="F153" s="2"/>
      <c r="G153" s="2"/>
      <c r="H153" s="2"/>
      <c r="I153" s="2"/>
      <c r="J153" s="2"/>
    </row>
    <row r="154" spans="1:10" s="25" customFormat="1">
      <c r="A154" s="50"/>
      <c r="E154" s="2"/>
      <c r="F154" s="2"/>
      <c r="G154" s="2"/>
      <c r="H154" s="2"/>
      <c r="I154" s="2"/>
      <c r="J154" s="2"/>
    </row>
    <row r="155" spans="1:10" s="25" customFormat="1">
      <c r="A155" s="50"/>
      <c r="E155" s="2"/>
      <c r="F155" s="2"/>
      <c r="G155" s="2"/>
      <c r="H155" s="2"/>
      <c r="I155" s="2"/>
      <c r="J155" s="2"/>
    </row>
    <row r="156" spans="1:10" s="25" customFormat="1">
      <c r="A156" s="50"/>
      <c r="E156" s="2"/>
      <c r="F156" s="2"/>
      <c r="G156" s="2"/>
      <c r="H156" s="2"/>
      <c r="I156" s="2"/>
      <c r="J156" s="2"/>
    </row>
    <row r="157" spans="1:10" s="25" customFormat="1">
      <c r="A157" s="50"/>
      <c r="E157" s="2"/>
      <c r="F157" s="2"/>
      <c r="G157" s="2"/>
      <c r="H157" s="2"/>
      <c r="I157" s="2"/>
      <c r="J157" s="2"/>
    </row>
    <row r="158" spans="1:10" s="25" customFormat="1">
      <c r="A158" s="50"/>
      <c r="E158" s="2"/>
      <c r="F158" s="2"/>
      <c r="G158" s="2"/>
      <c r="H158" s="2"/>
      <c r="I158" s="2"/>
      <c r="J158" s="2"/>
    </row>
    <row r="159" spans="1:10" s="25" customFormat="1">
      <c r="A159" s="50"/>
      <c r="E159" s="2"/>
      <c r="F159" s="2"/>
      <c r="G159" s="2"/>
      <c r="H159" s="2"/>
      <c r="I159" s="2"/>
      <c r="J159" s="2"/>
    </row>
    <row r="160" spans="1:10" s="25" customFormat="1">
      <c r="A160" s="50"/>
      <c r="E160" s="2"/>
      <c r="F160" s="2"/>
      <c r="G160" s="2"/>
      <c r="H160" s="2"/>
      <c r="I160" s="2"/>
      <c r="J160" s="2"/>
    </row>
    <row r="161" spans="1:10" s="25" customFormat="1">
      <c r="A161" s="50"/>
      <c r="E161" s="2"/>
      <c r="F161" s="2"/>
      <c r="G161" s="2"/>
      <c r="H161" s="2"/>
      <c r="I161" s="2"/>
      <c r="J161" s="2"/>
    </row>
    <row r="162" spans="1:10" s="25" customFormat="1">
      <c r="A162" s="50"/>
      <c r="E162" s="2"/>
      <c r="F162" s="2"/>
      <c r="G162" s="2"/>
      <c r="H162" s="2"/>
      <c r="I162" s="2"/>
      <c r="J162" s="2"/>
    </row>
    <row r="163" spans="1:10" s="25" customFormat="1">
      <c r="A163" s="50"/>
      <c r="E163" s="2"/>
      <c r="F163" s="2"/>
      <c r="G163" s="2"/>
      <c r="H163" s="2"/>
      <c r="I163" s="2"/>
      <c r="J163" s="2"/>
    </row>
    <row r="164" spans="1:10" s="25" customFormat="1">
      <c r="A164" s="50"/>
      <c r="E164" s="2"/>
      <c r="F164" s="2"/>
      <c r="G164" s="2"/>
      <c r="H164" s="2"/>
      <c r="I164" s="2"/>
      <c r="J164" s="2"/>
    </row>
    <row r="165" spans="1:10" s="25" customFormat="1">
      <c r="A165" s="50"/>
      <c r="E165" s="2"/>
      <c r="F165" s="2"/>
      <c r="G165" s="2"/>
      <c r="H165" s="2"/>
      <c r="I165" s="2"/>
      <c r="J165" s="2"/>
    </row>
    <row r="166" spans="1:10" s="25" customFormat="1">
      <c r="A166" s="50"/>
      <c r="E166" s="2"/>
      <c r="F166" s="2"/>
      <c r="G166" s="2"/>
      <c r="H166" s="2"/>
      <c r="I166" s="2"/>
      <c r="J166" s="2"/>
    </row>
    <row r="167" spans="1:10" s="25" customFormat="1">
      <c r="A167" s="50"/>
      <c r="E167" s="2"/>
      <c r="F167" s="2"/>
      <c r="G167" s="2"/>
      <c r="H167" s="2"/>
      <c r="I167" s="2"/>
      <c r="J167" s="2"/>
    </row>
    <row r="168" spans="1:10" s="25" customFormat="1">
      <c r="A168" s="50"/>
      <c r="E168" s="2"/>
      <c r="F168" s="2"/>
      <c r="G168" s="2"/>
      <c r="H168" s="2"/>
      <c r="I168" s="2"/>
      <c r="J168" s="2"/>
    </row>
    <row r="169" spans="1:10" s="25" customFormat="1">
      <c r="A169" s="50"/>
      <c r="E169" s="2"/>
      <c r="F169" s="2"/>
      <c r="G169" s="2"/>
      <c r="H169" s="2"/>
      <c r="I169" s="2"/>
      <c r="J169" s="2"/>
    </row>
    <row r="170" spans="1:10" s="25" customFormat="1">
      <c r="A170" s="50"/>
      <c r="E170" s="2"/>
      <c r="F170" s="2"/>
      <c r="G170" s="2"/>
      <c r="H170" s="2"/>
      <c r="I170" s="2"/>
      <c r="J170" s="2"/>
    </row>
    <row r="171" spans="1:10" s="25" customFormat="1">
      <c r="A171" s="50"/>
      <c r="E171" s="2"/>
      <c r="F171" s="2"/>
      <c r="G171" s="2"/>
      <c r="H171" s="2"/>
      <c r="I171" s="2"/>
      <c r="J171" s="2"/>
    </row>
    <row r="172" spans="1:10" s="25" customFormat="1">
      <c r="A172" s="50"/>
      <c r="E172" s="2"/>
      <c r="F172" s="2"/>
      <c r="G172" s="2"/>
      <c r="H172" s="2"/>
      <c r="I172" s="2"/>
      <c r="J172" s="2"/>
    </row>
    <row r="173" spans="1:10" s="25" customFormat="1">
      <c r="A173" s="50"/>
      <c r="E173" s="2"/>
      <c r="F173" s="2"/>
      <c r="G173" s="2"/>
      <c r="H173" s="2"/>
      <c r="I173" s="2"/>
      <c r="J173" s="2"/>
    </row>
    <row r="174" spans="1:10" s="25" customFormat="1">
      <c r="A174" s="50"/>
      <c r="E174" s="2"/>
      <c r="F174" s="2"/>
      <c r="G174" s="2"/>
      <c r="H174" s="2"/>
      <c r="I174" s="2"/>
      <c r="J174" s="2"/>
    </row>
    <row r="175" spans="1:10" s="25" customFormat="1">
      <c r="A175" s="50"/>
      <c r="E175" s="2"/>
      <c r="F175" s="2"/>
      <c r="G175" s="2"/>
      <c r="H175" s="2"/>
      <c r="I175" s="2"/>
      <c r="J175" s="2"/>
    </row>
    <row r="176" spans="1:10" s="25" customFormat="1">
      <c r="A176" s="50"/>
      <c r="E176" s="2"/>
      <c r="F176" s="2"/>
      <c r="G176" s="2"/>
      <c r="H176" s="2"/>
      <c r="I176" s="2"/>
      <c r="J176" s="2"/>
    </row>
    <row r="177" spans="1:10" s="25" customFormat="1">
      <c r="A177" s="50"/>
      <c r="E177" s="2"/>
      <c r="F177" s="2"/>
      <c r="G177" s="2"/>
      <c r="H177" s="2"/>
      <c r="I177" s="2"/>
      <c r="J177" s="2"/>
    </row>
    <row r="178" spans="1:10" s="25" customFormat="1">
      <c r="A178" s="50"/>
      <c r="E178" s="2"/>
      <c r="F178" s="2"/>
      <c r="G178" s="2"/>
      <c r="H178" s="2"/>
      <c r="I178" s="2"/>
      <c r="J178" s="2"/>
    </row>
    <row r="179" spans="1:10" s="25" customFormat="1">
      <c r="A179" s="50"/>
      <c r="E179" s="2"/>
      <c r="F179" s="2"/>
      <c r="G179" s="2"/>
      <c r="H179" s="2"/>
      <c r="I179" s="2"/>
      <c r="J179" s="2"/>
    </row>
    <row r="180" spans="1:10" s="25" customFormat="1">
      <c r="A180" s="50"/>
      <c r="E180" s="2"/>
      <c r="F180" s="2"/>
      <c r="G180" s="2"/>
      <c r="H180" s="2"/>
      <c r="I180" s="2"/>
      <c r="J180" s="2"/>
    </row>
    <row r="181" spans="1:10" s="25" customFormat="1">
      <c r="A181" s="50"/>
      <c r="E181" s="2"/>
      <c r="F181" s="2"/>
      <c r="G181" s="2"/>
      <c r="H181" s="2"/>
      <c r="I181" s="2"/>
      <c r="J181" s="2"/>
    </row>
    <row r="182" spans="1:10" s="25" customFormat="1">
      <c r="A182" s="50"/>
      <c r="E182" s="2"/>
      <c r="F182" s="2"/>
      <c r="G182" s="2"/>
      <c r="H182" s="2"/>
      <c r="I182" s="2"/>
      <c r="J182" s="2"/>
    </row>
    <row r="183" spans="1:10" s="25" customFormat="1">
      <c r="A183" s="50"/>
      <c r="E183" s="2"/>
      <c r="F183" s="2"/>
      <c r="G183" s="2"/>
      <c r="H183" s="2"/>
      <c r="I183" s="2"/>
      <c r="J183" s="2"/>
    </row>
    <row r="184" spans="1:10" s="25" customFormat="1">
      <c r="A184" s="50"/>
      <c r="E184" s="2"/>
      <c r="F184" s="2"/>
      <c r="G184" s="2"/>
      <c r="H184" s="2"/>
      <c r="I184" s="2"/>
      <c r="J184" s="2"/>
    </row>
    <row r="185" spans="1:10" s="25" customFormat="1">
      <c r="A185" s="50"/>
      <c r="E185" s="2"/>
      <c r="F185" s="2"/>
      <c r="G185" s="2"/>
      <c r="H185" s="2"/>
      <c r="I185" s="2"/>
      <c r="J185" s="2"/>
    </row>
    <row r="186" spans="1:10" s="25" customFormat="1">
      <c r="A186" s="50"/>
      <c r="E186" s="2"/>
      <c r="F186" s="2"/>
      <c r="G186" s="2"/>
      <c r="H186" s="2"/>
      <c r="I186" s="2"/>
      <c r="J186" s="2"/>
    </row>
    <row r="187" spans="1:10" s="25" customFormat="1">
      <c r="A187" s="50"/>
      <c r="E187" s="2"/>
      <c r="F187" s="2"/>
      <c r="G187" s="2"/>
      <c r="H187" s="2"/>
      <c r="I187" s="2"/>
      <c r="J187" s="2"/>
    </row>
    <row r="188" spans="1:10" s="25" customFormat="1">
      <c r="A188" s="50"/>
      <c r="E188" s="2"/>
      <c r="F188" s="2"/>
      <c r="G188" s="2"/>
      <c r="H188" s="2"/>
      <c r="I188" s="2"/>
      <c r="J188" s="2"/>
    </row>
    <row r="189" spans="1:10" s="25" customFormat="1">
      <c r="A189" s="50"/>
      <c r="E189" s="2"/>
      <c r="F189" s="2"/>
      <c r="G189" s="2"/>
      <c r="H189" s="2"/>
      <c r="I189" s="2"/>
      <c r="J189" s="2"/>
    </row>
    <row r="190" spans="1:10" s="25" customFormat="1">
      <c r="A190" s="50"/>
      <c r="E190" s="2"/>
      <c r="F190" s="2"/>
      <c r="G190" s="2"/>
      <c r="H190" s="2"/>
      <c r="I190" s="2"/>
      <c r="J190" s="2"/>
    </row>
    <row r="191" spans="1:10" s="25" customFormat="1">
      <c r="A191" s="50"/>
      <c r="E191" s="2"/>
      <c r="F191" s="2"/>
      <c r="G191" s="2"/>
      <c r="H191" s="2"/>
      <c r="I191" s="2"/>
      <c r="J191" s="2"/>
    </row>
    <row r="192" spans="1:10" s="25" customFormat="1">
      <c r="A192" s="50"/>
      <c r="E192" s="2"/>
      <c r="F192" s="2"/>
      <c r="G192" s="2"/>
      <c r="H192" s="2"/>
      <c r="I192" s="2"/>
      <c r="J192" s="2"/>
    </row>
    <row r="193" spans="1:10" s="25" customFormat="1">
      <c r="A193" s="50"/>
      <c r="E193" s="2"/>
      <c r="F193" s="2"/>
      <c r="G193" s="2"/>
      <c r="H193" s="2"/>
      <c r="I193" s="2"/>
      <c r="J193" s="2"/>
    </row>
    <row r="194" spans="1:10" s="25" customFormat="1">
      <c r="A194" s="50"/>
      <c r="E194" s="2"/>
      <c r="F194" s="2"/>
      <c r="G194" s="2"/>
      <c r="H194" s="2"/>
      <c r="I194" s="2"/>
      <c r="J194" s="2"/>
    </row>
    <row r="195" spans="1:10" s="25" customFormat="1">
      <c r="A195" s="50"/>
      <c r="E195" s="2"/>
      <c r="F195" s="2"/>
      <c r="G195" s="2"/>
      <c r="H195" s="2"/>
      <c r="I195" s="2"/>
      <c r="J195" s="2"/>
    </row>
    <row r="196" spans="1:10" s="25" customFormat="1">
      <c r="A196" s="50"/>
      <c r="E196" s="2"/>
      <c r="F196" s="2"/>
      <c r="G196" s="2"/>
      <c r="H196" s="2"/>
      <c r="I196" s="2"/>
      <c r="J196" s="2"/>
    </row>
    <row r="197" spans="1:10" s="25" customFormat="1">
      <c r="A197" s="50"/>
      <c r="E197" s="2"/>
      <c r="F197" s="2"/>
      <c r="G197" s="2"/>
      <c r="H197" s="2"/>
      <c r="I197" s="2"/>
      <c r="J197" s="2"/>
    </row>
    <row r="198" spans="1:10" s="25" customFormat="1">
      <c r="A198" s="50"/>
      <c r="E198" s="2"/>
      <c r="F198" s="2"/>
      <c r="G198" s="2"/>
      <c r="H198" s="2"/>
      <c r="I198" s="2"/>
      <c r="J198" s="2"/>
    </row>
    <row r="199" spans="1:10" s="25" customFormat="1">
      <c r="A199" s="50"/>
      <c r="E199" s="2"/>
      <c r="F199" s="2"/>
      <c r="G199" s="2"/>
      <c r="H199" s="2"/>
      <c r="I199" s="2"/>
      <c r="J199" s="2"/>
    </row>
    <row r="200" spans="1:10" s="25" customFormat="1">
      <c r="A200" s="50"/>
      <c r="E200" s="2"/>
      <c r="F200" s="2"/>
      <c r="G200" s="2"/>
      <c r="H200" s="2"/>
      <c r="I200" s="2"/>
      <c r="J200" s="2"/>
    </row>
    <row r="201" spans="1:10" s="25" customFormat="1">
      <c r="A201" s="50"/>
      <c r="E201" s="2"/>
      <c r="F201" s="2"/>
      <c r="G201" s="2"/>
      <c r="H201" s="2"/>
      <c r="I201" s="2"/>
      <c r="J201" s="2"/>
    </row>
    <row r="202" spans="1:10" s="25" customFormat="1">
      <c r="A202" s="50"/>
      <c r="E202" s="2"/>
      <c r="F202" s="2"/>
      <c r="G202" s="2"/>
      <c r="H202" s="2"/>
      <c r="I202" s="2"/>
      <c r="J202" s="2"/>
    </row>
    <row r="203" spans="1:10" s="25" customFormat="1">
      <c r="A203" s="50"/>
      <c r="E203" s="2"/>
      <c r="F203" s="2"/>
      <c r="G203" s="2"/>
      <c r="H203" s="2"/>
      <c r="I203" s="2"/>
      <c r="J203" s="2"/>
    </row>
    <row r="204" spans="1:10" s="25" customFormat="1">
      <c r="A204" s="50"/>
      <c r="E204" s="2"/>
      <c r="F204" s="2"/>
      <c r="G204" s="2"/>
      <c r="H204" s="2"/>
      <c r="I204" s="2"/>
      <c r="J204" s="2"/>
    </row>
    <row r="205" spans="1:10" s="25" customFormat="1">
      <c r="A205" s="50"/>
      <c r="E205" s="2"/>
      <c r="F205" s="2"/>
      <c r="G205" s="2"/>
      <c r="H205" s="2"/>
      <c r="I205" s="2"/>
      <c r="J205" s="2"/>
    </row>
    <row r="206" spans="1:10" s="25" customFormat="1">
      <c r="A206" s="50"/>
      <c r="E206" s="2"/>
      <c r="F206" s="2"/>
      <c r="G206" s="2"/>
      <c r="H206" s="2"/>
      <c r="I206" s="2"/>
      <c r="J206" s="2"/>
    </row>
    <row r="207" spans="1:10" s="25" customFormat="1">
      <c r="A207" s="50"/>
      <c r="E207" s="2"/>
      <c r="F207" s="2"/>
      <c r="G207" s="2"/>
      <c r="H207" s="2"/>
      <c r="I207" s="2"/>
      <c r="J207" s="2"/>
    </row>
    <row r="208" spans="1:10" s="25" customFormat="1">
      <c r="A208" s="50"/>
      <c r="E208" s="2"/>
      <c r="F208" s="2"/>
      <c r="G208" s="2"/>
      <c r="H208" s="2"/>
      <c r="I208" s="2"/>
      <c r="J208" s="2"/>
    </row>
    <row r="209" spans="1:10" s="25" customFormat="1">
      <c r="A209" s="50"/>
      <c r="E209" s="2"/>
      <c r="F209" s="2"/>
      <c r="G209" s="2"/>
      <c r="H209" s="2"/>
      <c r="I209" s="2"/>
      <c r="J209" s="2"/>
    </row>
    <row r="210" spans="1:10" s="25" customFormat="1">
      <c r="A210" s="50"/>
      <c r="E210" s="2"/>
      <c r="F210" s="2"/>
      <c r="G210" s="2"/>
      <c r="H210" s="2"/>
      <c r="I210" s="2"/>
      <c r="J210" s="2"/>
    </row>
    <row r="211" spans="1:10" s="25" customFormat="1">
      <c r="A211" s="50"/>
      <c r="E211" s="2"/>
      <c r="F211" s="2"/>
      <c r="G211" s="2"/>
      <c r="H211" s="2"/>
      <c r="I211" s="2"/>
      <c r="J211" s="2"/>
    </row>
    <row r="212" spans="1:10" s="25" customFormat="1">
      <c r="A212" s="50"/>
      <c r="E212" s="2"/>
      <c r="F212" s="2"/>
      <c r="G212" s="2"/>
      <c r="H212" s="2"/>
      <c r="I212" s="2"/>
      <c r="J212" s="2"/>
    </row>
    <row r="213" spans="1:10" s="25" customFormat="1">
      <c r="A213" s="50"/>
      <c r="E213" s="2"/>
      <c r="F213" s="2"/>
      <c r="G213" s="2"/>
      <c r="H213" s="2"/>
      <c r="I213" s="2"/>
      <c r="J213" s="2"/>
    </row>
    <row r="214" spans="1:10" s="25" customFormat="1">
      <c r="A214" s="50"/>
      <c r="E214" s="2"/>
      <c r="F214" s="2"/>
      <c r="G214" s="2"/>
      <c r="H214" s="2"/>
      <c r="I214" s="2"/>
      <c r="J214" s="2"/>
    </row>
    <row r="215" spans="1:10" s="25" customFormat="1">
      <c r="A215" s="50"/>
      <c r="E215" s="2"/>
      <c r="F215" s="2"/>
      <c r="G215" s="2"/>
      <c r="H215" s="2"/>
      <c r="I215" s="2"/>
      <c r="J215" s="2"/>
    </row>
    <row r="216" spans="1:10" s="25" customFormat="1">
      <c r="A216" s="50"/>
      <c r="E216" s="2"/>
      <c r="F216" s="2"/>
      <c r="G216" s="2"/>
      <c r="H216" s="2"/>
      <c r="I216" s="2"/>
      <c r="J216" s="2"/>
    </row>
    <row r="217" spans="1:10" s="25" customFormat="1">
      <c r="A217" s="50"/>
      <c r="E217" s="2"/>
      <c r="F217" s="2"/>
      <c r="G217" s="2"/>
      <c r="H217" s="2"/>
      <c r="I217" s="2"/>
      <c r="J217" s="2"/>
    </row>
    <row r="218" spans="1:10" s="25" customFormat="1">
      <c r="A218" s="50"/>
      <c r="E218" s="2"/>
      <c r="F218" s="2"/>
      <c r="G218" s="2"/>
      <c r="H218" s="2"/>
      <c r="I218" s="2"/>
      <c r="J218" s="2"/>
    </row>
    <row r="219" spans="1:10" s="25" customFormat="1">
      <c r="A219" s="50"/>
      <c r="E219" s="2"/>
      <c r="F219" s="2"/>
      <c r="G219" s="2"/>
      <c r="H219" s="2"/>
      <c r="I219" s="2"/>
      <c r="J219" s="2"/>
    </row>
    <row r="220" spans="1:10" s="25" customFormat="1">
      <c r="A220" s="50"/>
      <c r="E220" s="2"/>
      <c r="F220" s="2"/>
      <c r="G220" s="2"/>
      <c r="H220" s="2"/>
      <c r="I220" s="2"/>
      <c r="J220" s="2"/>
    </row>
    <row r="221" spans="1:10" s="25" customFormat="1">
      <c r="A221" s="50"/>
      <c r="E221" s="2"/>
      <c r="F221" s="2"/>
      <c r="G221" s="2"/>
      <c r="H221" s="2"/>
      <c r="I221" s="2"/>
      <c r="J221" s="2"/>
    </row>
    <row r="222" spans="1:10" s="25" customFormat="1">
      <c r="A222" s="50"/>
      <c r="E222" s="2"/>
      <c r="F222" s="2"/>
      <c r="G222" s="2"/>
      <c r="H222" s="2"/>
      <c r="I222" s="2"/>
      <c r="J222" s="2"/>
    </row>
    <row r="223" spans="1:10" s="25" customFormat="1">
      <c r="A223" s="50"/>
      <c r="E223" s="2"/>
      <c r="F223" s="2"/>
      <c r="G223" s="2"/>
      <c r="H223" s="2"/>
      <c r="I223" s="2"/>
      <c r="J223" s="2"/>
    </row>
    <row r="224" spans="1:10" s="25" customFormat="1">
      <c r="A224" s="50"/>
      <c r="E224" s="2"/>
      <c r="F224" s="2"/>
      <c r="G224" s="2"/>
      <c r="H224" s="2"/>
      <c r="I224" s="2"/>
      <c r="J224" s="2"/>
    </row>
    <row r="225" spans="1:10" s="25" customFormat="1">
      <c r="A225" s="50"/>
      <c r="E225" s="2"/>
      <c r="F225" s="2"/>
      <c r="G225" s="2"/>
      <c r="H225" s="2"/>
      <c r="I225" s="2"/>
      <c r="J225" s="2"/>
    </row>
    <row r="226" spans="1:10" s="25" customFormat="1">
      <c r="A226" s="50"/>
      <c r="E226" s="2"/>
      <c r="F226" s="2"/>
      <c r="G226" s="2"/>
      <c r="H226" s="2"/>
      <c r="I226" s="2"/>
      <c r="J226" s="2"/>
    </row>
    <row r="227" spans="1:10" s="25" customFormat="1">
      <c r="A227" s="50"/>
      <c r="E227" s="2"/>
      <c r="F227" s="2"/>
      <c r="G227" s="2"/>
      <c r="H227" s="2"/>
      <c r="I227" s="2"/>
      <c r="J227" s="2"/>
    </row>
    <row r="228" spans="1:10" s="25" customFormat="1">
      <c r="A228" s="50"/>
      <c r="E228" s="2"/>
      <c r="F228" s="2"/>
      <c r="G228" s="2"/>
      <c r="H228" s="2"/>
      <c r="I228" s="2"/>
      <c r="J228" s="2"/>
    </row>
    <row r="229" spans="1:10" s="25" customFormat="1">
      <c r="A229" s="50"/>
      <c r="E229" s="2"/>
      <c r="F229" s="2"/>
      <c r="G229" s="2"/>
      <c r="H229" s="2"/>
      <c r="I229" s="2"/>
      <c r="J229" s="2"/>
    </row>
    <row r="230" spans="1:10" s="25" customFormat="1">
      <c r="A230" s="50"/>
      <c r="E230" s="2"/>
      <c r="F230" s="2"/>
      <c r="G230" s="2"/>
      <c r="H230" s="2"/>
      <c r="I230" s="2"/>
      <c r="J230" s="2"/>
    </row>
    <row r="231" spans="1:10" s="25" customFormat="1">
      <c r="A231" s="50"/>
      <c r="E231" s="2"/>
      <c r="F231" s="2"/>
      <c r="G231" s="2"/>
      <c r="H231" s="2"/>
      <c r="I231" s="2"/>
      <c r="J231" s="2"/>
    </row>
    <row r="232" spans="1:10" s="25" customFormat="1">
      <c r="A232" s="50"/>
      <c r="E232" s="2"/>
      <c r="F232" s="2"/>
      <c r="G232" s="2"/>
      <c r="H232" s="2"/>
      <c r="I232" s="2"/>
      <c r="J232" s="2"/>
    </row>
    <row r="233" spans="1:10" s="25" customFormat="1">
      <c r="A233" s="50"/>
      <c r="E233" s="2"/>
      <c r="F233" s="2"/>
      <c r="G233" s="2"/>
      <c r="H233" s="2"/>
      <c r="I233" s="2"/>
      <c r="J233" s="2"/>
    </row>
    <row r="234" spans="1:10" s="25" customFormat="1">
      <c r="A234" s="50"/>
      <c r="E234" s="2"/>
      <c r="F234" s="2"/>
      <c r="G234" s="2"/>
      <c r="H234" s="2"/>
      <c r="I234" s="2"/>
      <c r="J234" s="2"/>
    </row>
    <row r="235" spans="1:10" s="25" customFormat="1">
      <c r="A235" s="50"/>
      <c r="E235" s="2"/>
      <c r="F235" s="2"/>
      <c r="G235" s="2"/>
      <c r="H235" s="2"/>
      <c r="I235" s="2"/>
      <c r="J235" s="2"/>
    </row>
    <row r="236" spans="1:10" s="25" customFormat="1">
      <c r="A236" s="50"/>
      <c r="E236" s="2"/>
      <c r="F236" s="2"/>
      <c r="G236" s="2"/>
      <c r="H236" s="2"/>
      <c r="I236" s="2"/>
      <c r="J236" s="2"/>
    </row>
    <row r="237" spans="1:10" s="25" customFormat="1">
      <c r="A237" s="50"/>
      <c r="E237" s="2"/>
      <c r="F237" s="2"/>
      <c r="G237" s="2"/>
      <c r="H237" s="2"/>
      <c r="I237" s="2"/>
      <c r="J237" s="2"/>
    </row>
    <row r="238" spans="1:10" s="25" customFormat="1">
      <c r="A238" s="50"/>
      <c r="E238" s="2"/>
      <c r="F238" s="2"/>
      <c r="G238" s="2"/>
      <c r="H238" s="2"/>
      <c r="I238" s="2"/>
      <c r="J238" s="2"/>
    </row>
    <row r="239" spans="1:10" s="25" customFormat="1">
      <c r="A239" s="50"/>
      <c r="E239" s="2"/>
      <c r="F239" s="2"/>
      <c r="G239" s="2"/>
      <c r="H239" s="2"/>
      <c r="I239" s="2"/>
      <c r="J239" s="2"/>
    </row>
    <row r="240" spans="1:10" s="25" customFormat="1">
      <c r="A240" s="50"/>
      <c r="E240" s="2"/>
      <c r="F240" s="2"/>
      <c r="G240" s="2"/>
      <c r="H240" s="2"/>
      <c r="I240" s="2"/>
      <c r="J240" s="2"/>
    </row>
    <row r="241" spans="1:10" s="25" customFormat="1">
      <c r="A241" s="50"/>
      <c r="E241" s="2"/>
      <c r="F241" s="2"/>
      <c r="G241" s="2"/>
      <c r="H241" s="2"/>
      <c r="I241" s="2"/>
      <c r="J241" s="2"/>
    </row>
    <row r="242" spans="1:10" s="25" customFormat="1">
      <c r="A242" s="50"/>
      <c r="E242" s="2"/>
      <c r="F242" s="2"/>
      <c r="G242" s="2"/>
      <c r="H242" s="2"/>
      <c r="I242" s="2"/>
      <c r="J242" s="2"/>
    </row>
    <row r="243" spans="1:10" s="25" customFormat="1">
      <c r="A243" s="50"/>
      <c r="E243" s="2"/>
      <c r="F243" s="2"/>
      <c r="G243" s="2"/>
      <c r="H243" s="2"/>
      <c r="I243" s="2"/>
      <c r="J243" s="2"/>
    </row>
    <row r="244" spans="1:10" s="25" customFormat="1">
      <c r="A244" s="50"/>
      <c r="E244" s="2"/>
      <c r="F244" s="2"/>
      <c r="G244" s="2"/>
      <c r="H244" s="2"/>
      <c r="I244" s="2"/>
      <c r="J244" s="2"/>
    </row>
    <row r="245" spans="1:10" s="25" customFormat="1">
      <c r="A245" s="50"/>
      <c r="E245" s="2"/>
      <c r="F245" s="2"/>
      <c r="G245" s="2"/>
      <c r="H245" s="2"/>
      <c r="I245" s="2"/>
      <c r="J245" s="2"/>
    </row>
    <row r="246" spans="1:10" s="25" customFormat="1">
      <c r="A246" s="50"/>
      <c r="E246" s="2"/>
      <c r="F246" s="2"/>
      <c r="G246" s="2"/>
      <c r="H246" s="2"/>
      <c r="I246" s="2"/>
      <c r="J246" s="2"/>
    </row>
    <row r="247" spans="1:10" s="25" customFormat="1">
      <c r="A247" s="50"/>
      <c r="E247" s="2"/>
      <c r="F247" s="2"/>
      <c r="G247" s="2"/>
      <c r="H247" s="2"/>
      <c r="I247" s="2"/>
      <c r="J247" s="2"/>
    </row>
    <row r="248" spans="1:10" s="25" customFormat="1">
      <c r="A248" s="50"/>
      <c r="E248" s="2"/>
      <c r="F248" s="2"/>
      <c r="G248" s="2"/>
      <c r="H248" s="2"/>
      <c r="I248" s="2"/>
      <c r="J248" s="2"/>
    </row>
    <row r="249" spans="1:10" s="25" customFormat="1">
      <c r="A249" s="50"/>
      <c r="E249" s="2"/>
      <c r="F249" s="2"/>
      <c r="G249" s="2"/>
      <c r="H249" s="2"/>
      <c r="I249" s="2"/>
      <c r="J249" s="2"/>
    </row>
    <row r="250" spans="1:10" s="25" customFormat="1">
      <c r="A250" s="50"/>
      <c r="E250" s="2"/>
      <c r="F250" s="2"/>
      <c r="G250" s="2"/>
      <c r="H250" s="2"/>
      <c r="I250" s="2"/>
      <c r="J250" s="2"/>
    </row>
    <row r="251" spans="1:10" s="25" customFormat="1">
      <c r="A251" s="50"/>
      <c r="E251" s="2"/>
      <c r="F251" s="2"/>
      <c r="G251" s="2"/>
      <c r="H251" s="2"/>
      <c r="I251" s="2"/>
      <c r="J251" s="2"/>
    </row>
    <row r="252" spans="1:10" s="25" customFormat="1">
      <c r="A252" s="50"/>
      <c r="E252" s="2"/>
      <c r="F252" s="2"/>
      <c r="G252" s="2"/>
      <c r="H252" s="2"/>
      <c r="I252" s="2"/>
      <c r="J252" s="2"/>
    </row>
    <row r="253" spans="1:10" s="25" customFormat="1">
      <c r="A253" s="50"/>
      <c r="E253" s="2"/>
      <c r="F253" s="2"/>
      <c r="G253" s="2"/>
      <c r="H253" s="2"/>
      <c r="I253" s="2"/>
      <c r="J253" s="2"/>
    </row>
    <row r="254" spans="1:10" s="25" customFormat="1">
      <c r="A254" s="50"/>
      <c r="E254" s="2"/>
      <c r="F254" s="2"/>
      <c r="G254" s="2"/>
      <c r="H254" s="2"/>
      <c r="I254" s="2"/>
      <c r="J254" s="2"/>
    </row>
    <row r="255" spans="1:10" s="25" customFormat="1">
      <c r="A255" s="50"/>
      <c r="E255" s="2"/>
      <c r="F255" s="2"/>
      <c r="G255" s="2"/>
      <c r="H255" s="2"/>
      <c r="I255" s="2"/>
      <c r="J255" s="2"/>
    </row>
    <row r="256" spans="1:10" s="25" customFormat="1">
      <c r="A256" s="50"/>
      <c r="E256" s="2"/>
      <c r="F256" s="2"/>
      <c r="G256" s="2"/>
      <c r="H256" s="2"/>
      <c r="I256" s="2"/>
      <c r="J256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 topLeftCell="A65">
      <selection activeCell="F84" sqref="F84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46">
    <mergeCell ref="A6:B7"/>
    <mergeCell ref="E6:K6"/>
    <mergeCell ref="E7:K7"/>
    <mergeCell ref="E8:K8"/>
    <mergeCell ref="C86:D86"/>
    <mergeCell ref="G86:I86"/>
    <mergeCell ref="A34:A35"/>
    <mergeCell ref="B34:B35"/>
    <mergeCell ref="E34:E35"/>
    <mergeCell ref="G34:J34"/>
    <mergeCell ref="A37:J37"/>
    <mergeCell ref="A69:J69"/>
    <mergeCell ref="A60:J60"/>
    <mergeCell ref="D34:D35"/>
    <mergeCell ref="A67:J67"/>
    <mergeCell ref="B25:E25"/>
    <mergeCell ref="A2:B2"/>
    <mergeCell ref="A3:B3"/>
    <mergeCell ref="A5:B5"/>
    <mergeCell ref="G5:H5"/>
    <mergeCell ref="E2:K4"/>
    <mergeCell ref="A4:B4"/>
    <mergeCell ref="C34:C35"/>
    <mergeCell ref="B19:H19"/>
    <mergeCell ref="B21:D21"/>
    <mergeCell ref="A22:D22"/>
    <mergeCell ref="G22:I22"/>
    <mergeCell ref="A32:J32"/>
    <mergeCell ref="A30:J30"/>
    <mergeCell ref="B27:D27"/>
    <mergeCell ref="C87:D87"/>
    <mergeCell ref="G87:I87"/>
    <mergeCell ref="B23:D23"/>
    <mergeCell ref="G23:I23"/>
    <mergeCell ref="E9:K9"/>
    <mergeCell ref="E11:K11"/>
    <mergeCell ref="B15:D15"/>
    <mergeCell ref="B16:D16"/>
    <mergeCell ref="B17:D17"/>
    <mergeCell ref="B18:D18"/>
    <mergeCell ref="B20:D20"/>
    <mergeCell ref="A73:J73"/>
    <mergeCell ref="A53:J53"/>
    <mergeCell ref="A24:D24"/>
    <mergeCell ref="B26:D26"/>
    <mergeCell ref="F34:F35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J334"/>
  <sheetViews>
    <sheetView tabSelected="1" view="pageBreakPreview" topLeftCell="A8" zoomScale="65" zoomScaleNormal="65" zoomScaleSheetLayoutView="65" workbookViewId="0">
      <selection activeCell="J21" sqref="J21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5" customWidth="1"/>
    <col min="4" max="4" width="13.7109375" style="25" customWidth="1"/>
    <col min="5" max="5" width="13.42578125" style="258" customWidth="1"/>
    <col min="6" max="6" width="13" style="2" customWidth="1"/>
    <col min="7" max="7" width="13.85546875" style="2" customWidth="1"/>
    <col min="8" max="9" width="13.140625" style="2" customWidth="1"/>
    <col min="10" max="10" width="21" style="2" customWidth="1"/>
    <col min="11" max="16384" width="9.140625" style="2"/>
  </cols>
  <sheetData>
    <row r="1" spans="1:10">
      <c r="A1" s="304" t="s">
        <v>369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>
      <c r="A2" s="42"/>
      <c r="B2" s="53"/>
      <c r="C2" s="42"/>
      <c r="D2" s="42"/>
      <c r="E2" s="249"/>
      <c r="F2" s="42"/>
      <c r="G2" s="42"/>
      <c r="H2" s="42"/>
      <c r="I2" s="42"/>
    </row>
    <row r="3" spans="1:10" ht="36" customHeight="1">
      <c r="A3" s="311" t="s">
        <v>272</v>
      </c>
      <c r="B3" s="307" t="s">
        <v>18</v>
      </c>
      <c r="C3" s="307" t="s">
        <v>31</v>
      </c>
      <c r="D3" s="316" t="s">
        <v>39</v>
      </c>
      <c r="E3" s="315" t="s">
        <v>181</v>
      </c>
      <c r="F3" s="307" t="s">
        <v>364</v>
      </c>
      <c r="G3" s="307"/>
      <c r="H3" s="307"/>
      <c r="I3" s="307"/>
      <c r="J3" s="307" t="s">
        <v>250</v>
      </c>
    </row>
    <row r="4" spans="1:10" ht="46.5" customHeight="1">
      <c r="A4" s="311"/>
      <c r="B4" s="307"/>
      <c r="C4" s="307"/>
      <c r="D4" s="316"/>
      <c r="E4" s="315"/>
      <c r="F4" s="13" t="s">
        <v>365</v>
      </c>
      <c r="G4" s="13" t="s">
        <v>366</v>
      </c>
      <c r="H4" s="13" t="s">
        <v>367</v>
      </c>
      <c r="I4" s="13" t="s">
        <v>86</v>
      </c>
      <c r="J4" s="307"/>
    </row>
    <row r="5" spans="1:10" ht="23.25" customHeight="1">
      <c r="A5" s="6">
        <v>1</v>
      </c>
      <c r="B5" s="7">
        <v>2</v>
      </c>
      <c r="C5" s="7">
        <v>3</v>
      </c>
      <c r="D5" s="7">
        <v>4</v>
      </c>
      <c r="E5" s="250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s="5" customFormat="1" ht="20.100000000000001" customHeight="1">
      <c r="A6" s="308" t="s">
        <v>279</v>
      </c>
      <c r="B6" s="309"/>
      <c r="C6" s="309"/>
      <c r="D6" s="309"/>
      <c r="E6" s="309"/>
      <c r="F6" s="309"/>
      <c r="G6" s="309"/>
      <c r="H6" s="309"/>
      <c r="I6" s="309"/>
      <c r="J6" s="310"/>
    </row>
    <row r="7" spans="1:10" s="5" customFormat="1" ht="42" customHeight="1">
      <c r="A7" s="72" t="s">
        <v>121</v>
      </c>
      <c r="B7" s="9">
        <v>1000</v>
      </c>
      <c r="C7" s="230">
        <f t="shared" ref="C7:I7" si="0">C8</f>
        <v>1044</v>
      </c>
      <c r="D7" s="230">
        <f t="shared" si="0"/>
        <v>0</v>
      </c>
      <c r="E7" s="230">
        <f t="shared" si="0"/>
        <v>924</v>
      </c>
      <c r="F7" s="230">
        <f t="shared" si="0"/>
        <v>113</v>
      </c>
      <c r="G7" s="230">
        <f t="shared" si="0"/>
        <v>727</v>
      </c>
      <c r="H7" s="230">
        <v>833</v>
      </c>
      <c r="I7" s="230">
        <f t="shared" si="0"/>
        <v>1024</v>
      </c>
      <c r="J7" s="142"/>
    </row>
    <row r="8" spans="1:10" s="5" customFormat="1" ht="24.75" customHeight="1">
      <c r="A8" s="72" t="s">
        <v>409</v>
      </c>
      <c r="B8" s="6" t="s">
        <v>382</v>
      </c>
      <c r="C8" s="169">
        <v>1044</v>
      </c>
      <c r="D8" s="169"/>
      <c r="E8" s="228">
        <f>924</f>
        <v>924</v>
      </c>
      <c r="F8" s="169">
        <v>113</v>
      </c>
      <c r="G8" s="169">
        <v>727</v>
      </c>
      <c r="H8" s="169">
        <v>893</v>
      </c>
      <c r="I8" s="169">
        <f>1024</f>
        <v>1024</v>
      </c>
      <c r="J8" s="142"/>
    </row>
    <row r="9" spans="1:10" ht="40.5" customHeight="1">
      <c r="A9" s="72" t="s">
        <v>139</v>
      </c>
      <c r="B9" s="9">
        <v>1010</v>
      </c>
      <c r="C9" s="170">
        <f t="shared" ref="C9:I9" si="1">SUM(C10:C17)</f>
        <v>1544</v>
      </c>
      <c r="D9" s="170">
        <f t="shared" si="1"/>
        <v>0</v>
      </c>
      <c r="E9" s="260">
        <f t="shared" si="1"/>
        <v>2319</v>
      </c>
      <c r="F9" s="170">
        <f t="shared" si="1"/>
        <v>1069</v>
      </c>
      <c r="G9" s="170">
        <f t="shared" si="1"/>
        <v>1856</v>
      </c>
      <c r="H9" s="170">
        <f t="shared" si="1"/>
        <v>3199</v>
      </c>
      <c r="I9" s="170">
        <f t="shared" si="1"/>
        <v>3841</v>
      </c>
      <c r="J9" s="141"/>
    </row>
    <row r="10" spans="1:10" s="1" customFormat="1" ht="20.100000000000001" customHeight="1">
      <c r="A10" s="72" t="s">
        <v>305</v>
      </c>
      <c r="B10" s="7">
        <v>1011</v>
      </c>
      <c r="C10" s="169"/>
      <c r="D10" s="169"/>
      <c r="E10" s="228"/>
      <c r="F10" s="169"/>
      <c r="G10" s="169"/>
      <c r="H10" s="169"/>
      <c r="I10" s="169"/>
      <c r="J10" s="141"/>
    </row>
    <row r="11" spans="1:10" s="1" customFormat="1" ht="20.100000000000001" customHeight="1">
      <c r="A11" s="72" t="s">
        <v>68</v>
      </c>
      <c r="B11" s="7">
        <v>1012</v>
      </c>
      <c r="C11" s="169">
        <v>106</v>
      </c>
      <c r="D11" s="169"/>
      <c r="E11" s="228">
        <v>126</v>
      </c>
      <c r="F11" s="228">
        <v>30</v>
      </c>
      <c r="G11" s="228">
        <v>61</v>
      </c>
      <c r="H11" s="228">
        <v>119</v>
      </c>
      <c r="I11" s="228">
        <v>121</v>
      </c>
      <c r="J11" s="141"/>
    </row>
    <row r="12" spans="1:10" s="1" customFormat="1" ht="20.100000000000001" customHeight="1">
      <c r="A12" s="72" t="s">
        <v>67</v>
      </c>
      <c r="B12" s="7">
        <v>1013</v>
      </c>
      <c r="C12" s="169">
        <v>24</v>
      </c>
      <c r="D12" s="169"/>
      <c r="E12" s="228">
        <v>548</v>
      </c>
      <c r="F12" s="169">
        <v>101</v>
      </c>
      <c r="G12" s="169">
        <v>157</v>
      </c>
      <c r="H12" s="169">
        <v>586</v>
      </c>
      <c r="I12" s="169">
        <v>781</v>
      </c>
      <c r="J12" s="141"/>
    </row>
    <row r="13" spans="1:10" s="1" customFormat="1" ht="20.100000000000001" customHeight="1">
      <c r="A13" s="72" t="s">
        <v>42</v>
      </c>
      <c r="B13" s="7">
        <v>1014</v>
      </c>
      <c r="C13" s="169">
        <v>819</v>
      </c>
      <c r="D13" s="169"/>
      <c r="E13" s="228">
        <v>950</v>
      </c>
      <c r="F13" s="169">
        <v>744</v>
      </c>
      <c r="G13" s="169">
        <v>1264</v>
      </c>
      <c r="H13" s="169">
        <v>1826</v>
      </c>
      <c r="I13" s="169">
        <f>2166</f>
        <v>2166</v>
      </c>
      <c r="J13" s="141"/>
    </row>
    <row r="14" spans="1:10" s="1" customFormat="1" ht="20.100000000000001" customHeight="1">
      <c r="A14" s="72" t="s">
        <v>43</v>
      </c>
      <c r="B14" s="7">
        <v>1015</v>
      </c>
      <c r="C14" s="169">
        <v>282</v>
      </c>
      <c r="D14" s="169"/>
      <c r="E14" s="228">
        <v>203</v>
      </c>
      <c r="F14" s="169">
        <v>155</v>
      </c>
      <c r="G14" s="169">
        <v>175</v>
      </c>
      <c r="H14" s="169">
        <v>399</v>
      </c>
      <c r="I14" s="169">
        <v>470</v>
      </c>
      <c r="J14" s="141"/>
    </row>
    <row r="15" spans="1:10" s="1" customFormat="1" ht="75">
      <c r="A15" s="72" t="s">
        <v>262</v>
      </c>
      <c r="B15" s="7">
        <v>1016</v>
      </c>
      <c r="C15" s="169"/>
      <c r="D15" s="169"/>
      <c r="E15" s="228"/>
      <c r="F15" s="169"/>
      <c r="G15" s="169"/>
      <c r="H15" s="169"/>
      <c r="I15" s="169"/>
      <c r="J15" s="141"/>
    </row>
    <row r="16" spans="1:10" s="1" customFormat="1" ht="37.5">
      <c r="A16" s="72" t="s">
        <v>66</v>
      </c>
      <c r="B16" s="7">
        <v>1017</v>
      </c>
      <c r="C16" s="169">
        <v>235</v>
      </c>
      <c r="D16" s="169"/>
      <c r="E16" s="228">
        <v>487</v>
      </c>
      <c r="F16" s="169">
        <v>22</v>
      </c>
      <c r="G16" s="169">
        <v>145</v>
      </c>
      <c r="H16" s="169">
        <v>210</v>
      </c>
      <c r="I16" s="169">
        <v>237</v>
      </c>
      <c r="J16" s="141"/>
    </row>
    <row r="17" spans="1:10" s="1" customFormat="1" ht="20.100000000000001" customHeight="1">
      <c r="A17" s="72" t="s">
        <v>137</v>
      </c>
      <c r="B17" s="7">
        <v>1018</v>
      </c>
      <c r="C17" s="169">
        <f>C18</f>
        <v>78</v>
      </c>
      <c r="D17" s="169"/>
      <c r="E17" s="228">
        <v>5</v>
      </c>
      <c r="F17" s="169">
        <v>17</v>
      </c>
      <c r="G17" s="169">
        <v>54</v>
      </c>
      <c r="H17" s="169">
        <v>59</v>
      </c>
      <c r="I17" s="169">
        <v>66</v>
      </c>
      <c r="J17" s="141"/>
    </row>
    <row r="18" spans="1:10" s="1" customFormat="1" ht="20.100000000000001" customHeight="1">
      <c r="A18" s="72" t="s">
        <v>410</v>
      </c>
      <c r="B18" s="7" t="s">
        <v>385</v>
      </c>
      <c r="C18" s="169">
        <f>21+57</f>
        <v>78</v>
      </c>
      <c r="D18" s="169"/>
      <c r="E18" s="228">
        <v>5</v>
      </c>
      <c r="F18" s="169">
        <v>17</v>
      </c>
      <c r="G18" s="169">
        <v>54</v>
      </c>
      <c r="H18" s="169">
        <v>59</v>
      </c>
      <c r="I18" s="169">
        <v>66</v>
      </c>
      <c r="J18" s="141"/>
    </row>
    <row r="19" spans="1:10" s="5" customFormat="1" ht="20.100000000000001" customHeight="1">
      <c r="A19" s="160" t="s">
        <v>23</v>
      </c>
      <c r="B19" s="11">
        <v>1020</v>
      </c>
      <c r="C19" s="171">
        <f t="shared" ref="C19:I19" si="2">C7-C9</f>
        <v>-500</v>
      </c>
      <c r="D19" s="171">
        <f t="shared" si="2"/>
        <v>0</v>
      </c>
      <c r="E19" s="261">
        <f t="shared" si="2"/>
        <v>-1395</v>
      </c>
      <c r="F19" s="171">
        <f t="shared" si="2"/>
        <v>-956</v>
      </c>
      <c r="G19" s="171">
        <f t="shared" si="2"/>
        <v>-1129</v>
      </c>
      <c r="H19" s="171">
        <f t="shared" si="2"/>
        <v>-2366</v>
      </c>
      <c r="I19" s="171">
        <f t="shared" si="2"/>
        <v>-2817</v>
      </c>
      <c r="J19" s="142"/>
    </row>
    <row r="20" spans="1:10" ht="37.5">
      <c r="A20" s="72" t="s">
        <v>233</v>
      </c>
      <c r="B20" s="9">
        <v>1030</v>
      </c>
      <c r="C20" s="169">
        <f>C21+C22</f>
        <v>4395</v>
      </c>
      <c r="D20" s="169"/>
      <c r="E20" s="228">
        <f>E21+E22+E23</f>
        <v>4591</v>
      </c>
      <c r="F20" s="169">
        <f>F22</f>
        <v>1584</v>
      </c>
      <c r="G20" s="169">
        <f>G22</f>
        <v>2989</v>
      </c>
      <c r="H20" s="169">
        <v>4020</v>
      </c>
      <c r="I20" s="169">
        <f>I21+I22+I23</f>
        <v>5420</v>
      </c>
      <c r="J20" s="141"/>
    </row>
    <row r="21" spans="1:10">
      <c r="A21" s="72" t="s">
        <v>386</v>
      </c>
      <c r="B21" s="6" t="s">
        <v>387</v>
      </c>
      <c r="C21" s="169"/>
      <c r="D21" s="169"/>
      <c r="E21" s="228"/>
      <c r="F21" s="169"/>
      <c r="G21" s="169"/>
      <c r="H21" s="169"/>
      <c r="I21" s="169"/>
      <c r="J21" s="141"/>
    </row>
    <row r="22" spans="1:10">
      <c r="A22" s="229" t="s">
        <v>391</v>
      </c>
      <c r="B22" s="6" t="s">
        <v>390</v>
      </c>
      <c r="C22" s="169">
        <v>4395</v>
      </c>
      <c r="D22" s="169"/>
      <c r="E22" s="228">
        <v>4591</v>
      </c>
      <c r="F22" s="228">
        <v>1584</v>
      </c>
      <c r="G22" s="228">
        <v>2989</v>
      </c>
      <c r="H22" s="228">
        <v>4020</v>
      </c>
      <c r="I22" s="228">
        <v>5420</v>
      </c>
      <c r="J22" s="141"/>
    </row>
    <row r="23" spans="1:10" ht="20.100000000000001" customHeight="1">
      <c r="A23" s="72" t="s">
        <v>234</v>
      </c>
      <c r="B23" s="9">
        <v>1031</v>
      </c>
      <c r="C23" s="169"/>
      <c r="D23" s="169"/>
      <c r="E23" s="228"/>
      <c r="F23" s="169"/>
      <c r="G23" s="169"/>
      <c r="H23" s="169"/>
      <c r="I23" s="169"/>
      <c r="J23" s="141"/>
    </row>
    <row r="24" spans="1:10" ht="20.100000000000001" customHeight="1">
      <c r="A24" s="72" t="s">
        <v>241</v>
      </c>
      <c r="B24" s="9">
        <v>1040</v>
      </c>
      <c r="C24" s="170">
        <f t="shared" ref="C24:I24" si="3">SUM(C25:C46)</f>
        <v>1676</v>
      </c>
      <c r="D24" s="170">
        <f t="shared" si="3"/>
        <v>0</v>
      </c>
      <c r="E24" s="260">
        <f t="shared" si="3"/>
        <v>2052</v>
      </c>
      <c r="F24" s="170">
        <f t="shared" si="3"/>
        <v>489</v>
      </c>
      <c r="G24" s="170">
        <f t="shared" si="3"/>
        <v>1002</v>
      </c>
      <c r="H24" s="170">
        <f t="shared" si="3"/>
        <v>1490</v>
      </c>
      <c r="I24" s="170">
        <f t="shared" si="3"/>
        <v>2334</v>
      </c>
      <c r="J24" s="141"/>
    </row>
    <row r="25" spans="1:10" ht="37.5">
      <c r="A25" s="72" t="s">
        <v>120</v>
      </c>
      <c r="B25" s="9">
        <v>1041</v>
      </c>
      <c r="C25" s="169">
        <v>220</v>
      </c>
      <c r="D25" s="169"/>
      <c r="E25" s="228">
        <v>134</v>
      </c>
      <c r="F25" s="228">
        <v>34</v>
      </c>
      <c r="G25" s="228">
        <v>67</v>
      </c>
      <c r="H25" s="228">
        <v>119</v>
      </c>
      <c r="I25" s="228">
        <v>159</v>
      </c>
      <c r="J25" s="141"/>
    </row>
    <row r="26" spans="1:10" ht="20.100000000000001" customHeight="1">
      <c r="A26" s="72" t="s">
        <v>223</v>
      </c>
      <c r="B26" s="9">
        <v>1042</v>
      </c>
      <c r="C26" s="169"/>
      <c r="D26" s="169"/>
      <c r="E26" s="228"/>
      <c r="F26" s="169"/>
      <c r="G26" s="169"/>
      <c r="H26" s="169"/>
      <c r="I26" s="169"/>
      <c r="J26" s="141"/>
    </row>
    <row r="27" spans="1:10" ht="20.100000000000001" customHeight="1">
      <c r="A27" s="72" t="s">
        <v>65</v>
      </c>
      <c r="B27" s="9">
        <v>1043</v>
      </c>
      <c r="C27" s="169"/>
      <c r="D27" s="169"/>
      <c r="E27" s="228"/>
      <c r="F27" s="169"/>
      <c r="G27" s="169"/>
      <c r="H27" s="169"/>
      <c r="I27" s="169"/>
      <c r="J27" s="141"/>
    </row>
    <row r="28" spans="1:10" ht="20.100000000000001" customHeight="1">
      <c r="A28" s="72" t="s">
        <v>21</v>
      </c>
      <c r="B28" s="9">
        <v>1044</v>
      </c>
      <c r="C28" s="169"/>
      <c r="D28" s="169"/>
      <c r="E28" s="228"/>
      <c r="F28" s="169"/>
      <c r="G28" s="169"/>
      <c r="H28" s="169"/>
      <c r="I28" s="169"/>
      <c r="J28" s="141"/>
    </row>
    <row r="29" spans="1:10" ht="20.100000000000001" customHeight="1">
      <c r="A29" s="72" t="s">
        <v>22</v>
      </c>
      <c r="B29" s="9">
        <v>1045</v>
      </c>
      <c r="C29" s="169"/>
      <c r="D29" s="169"/>
      <c r="E29" s="228"/>
      <c r="F29" s="169"/>
      <c r="G29" s="169"/>
      <c r="H29" s="169"/>
      <c r="I29" s="169"/>
      <c r="J29" s="141"/>
    </row>
    <row r="30" spans="1:10" s="1" customFormat="1" ht="20.100000000000001" customHeight="1">
      <c r="A30" s="72" t="s">
        <v>40</v>
      </c>
      <c r="B30" s="9">
        <v>1046</v>
      </c>
      <c r="C30" s="169">
        <v>35</v>
      </c>
      <c r="D30" s="169"/>
      <c r="E30" s="228">
        <v>120</v>
      </c>
      <c r="F30" s="169">
        <v>3</v>
      </c>
      <c r="G30" s="169">
        <v>18</v>
      </c>
      <c r="H30" s="169">
        <v>21</v>
      </c>
      <c r="I30" s="169">
        <v>27</v>
      </c>
      <c r="J30" s="141"/>
    </row>
    <row r="31" spans="1:10" s="1" customFormat="1" ht="20.100000000000001" customHeight="1">
      <c r="A31" s="72" t="s">
        <v>41</v>
      </c>
      <c r="B31" s="9">
        <v>1047</v>
      </c>
      <c r="C31" s="169">
        <v>19</v>
      </c>
      <c r="D31" s="169"/>
      <c r="E31" s="228">
        <v>5</v>
      </c>
      <c r="F31" s="169">
        <v>2</v>
      </c>
      <c r="G31" s="169">
        <v>3</v>
      </c>
      <c r="H31" s="169">
        <v>5</v>
      </c>
      <c r="I31" s="169">
        <v>6</v>
      </c>
      <c r="J31" s="141"/>
    </row>
    <row r="32" spans="1:10" s="1" customFormat="1" ht="20.100000000000001" customHeight="1">
      <c r="A32" s="72" t="s">
        <v>42</v>
      </c>
      <c r="B32" s="9">
        <v>1048</v>
      </c>
      <c r="C32" s="169">
        <v>285</v>
      </c>
      <c r="D32" s="169"/>
      <c r="E32" s="228">
        <v>879</v>
      </c>
      <c r="F32" s="169">
        <v>359</v>
      </c>
      <c r="G32" s="169">
        <v>718</v>
      </c>
      <c r="H32" s="169">
        <v>1047</v>
      </c>
      <c r="I32" s="169">
        <v>1666</v>
      </c>
      <c r="J32" s="141"/>
    </row>
    <row r="33" spans="1:10" s="1" customFormat="1" ht="20.100000000000001" customHeight="1">
      <c r="A33" s="72" t="s">
        <v>43</v>
      </c>
      <c r="B33" s="9">
        <v>1049</v>
      </c>
      <c r="C33" s="169">
        <v>105</v>
      </c>
      <c r="D33" s="169"/>
      <c r="E33" s="228">
        <v>190</v>
      </c>
      <c r="F33" s="169">
        <v>76</v>
      </c>
      <c r="G33" s="169">
        <v>154</v>
      </c>
      <c r="H33" s="169">
        <v>224</v>
      </c>
      <c r="I33" s="169">
        <v>370</v>
      </c>
      <c r="J33" s="141"/>
    </row>
    <row r="34" spans="1:10" s="1" customFormat="1" ht="56.25">
      <c r="A34" s="72" t="s">
        <v>44</v>
      </c>
      <c r="B34" s="9">
        <v>1050</v>
      </c>
      <c r="C34" s="169"/>
      <c r="D34" s="169"/>
      <c r="E34" s="228"/>
      <c r="F34" s="169"/>
      <c r="G34" s="169"/>
      <c r="H34" s="169"/>
      <c r="I34" s="169"/>
      <c r="J34" s="141"/>
    </row>
    <row r="35" spans="1:10" s="1" customFormat="1" ht="56.25">
      <c r="A35" s="72" t="s">
        <v>45</v>
      </c>
      <c r="B35" s="9">
        <v>1051</v>
      </c>
      <c r="C35" s="169"/>
      <c r="D35" s="169"/>
      <c r="E35" s="228"/>
      <c r="F35" s="169"/>
      <c r="G35" s="169"/>
      <c r="H35" s="169"/>
      <c r="I35" s="169"/>
      <c r="J35" s="141"/>
    </row>
    <row r="36" spans="1:10" s="1" customFormat="1" ht="37.5">
      <c r="A36" s="72" t="s">
        <v>46</v>
      </c>
      <c r="B36" s="9">
        <v>1052</v>
      </c>
      <c r="C36" s="169"/>
      <c r="D36" s="169"/>
      <c r="E36" s="228"/>
      <c r="F36" s="169"/>
      <c r="G36" s="169"/>
      <c r="H36" s="169"/>
      <c r="I36" s="169"/>
      <c r="J36" s="141"/>
    </row>
    <row r="37" spans="1:10" s="1" customFormat="1" ht="37.5">
      <c r="A37" s="72" t="s">
        <v>47</v>
      </c>
      <c r="B37" s="9">
        <v>1053</v>
      </c>
      <c r="C37" s="169"/>
      <c r="D37" s="169"/>
      <c r="E37" s="228"/>
      <c r="F37" s="169"/>
      <c r="G37" s="169"/>
      <c r="H37" s="169"/>
      <c r="I37" s="169"/>
      <c r="J37" s="141"/>
    </row>
    <row r="38" spans="1:10" s="1" customFormat="1" ht="20.100000000000001" customHeight="1">
      <c r="A38" s="72" t="s">
        <v>48</v>
      </c>
      <c r="B38" s="9">
        <v>1054</v>
      </c>
      <c r="C38" s="169">
        <v>655</v>
      </c>
      <c r="D38" s="169"/>
      <c r="E38" s="228">
        <v>490</v>
      </c>
      <c r="F38" s="169">
        <v>5</v>
      </c>
      <c r="G38" s="169">
        <v>18</v>
      </c>
      <c r="H38" s="169">
        <v>43</v>
      </c>
      <c r="I38" s="169">
        <v>64</v>
      </c>
      <c r="J38" s="141"/>
    </row>
    <row r="39" spans="1:10" s="1" customFormat="1" ht="20.100000000000001" customHeight="1">
      <c r="A39" s="72" t="s">
        <v>69</v>
      </c>
      <c r="B39" s="9">
        <v>1055</v>
      </c>
      <c r="C39" s="169">
        <v>25</v>
      </c>
      <c r="D39" s="169"/>
      <c r="E39" s="228">
        <v>16</v>
      </c>
      <c r="F39" s="169">
        <v>8</v>
      </c>
      <c r="G39" s="169">
        <v>10</v>
      </c>
      <c r="H39" s="169">
        <v>12</v>
      </c>
      <c r="I39" s="169">
        <v>16</v>
      </c>
      <c r="J39" s="141"/>
    </row>
    <row r="40" spans="1:10" s="1" customFormat="1" ht="20.100000000000001" customHeight="1">
      <c r="A40" s="72" t="s">
        <v>49</v>
      </c>
      <c r="B40" s="9">
        <v>1056</v>
      </c>
      <c r="C40" s="169"/>
      <c r="D40" s="169"/>
      <c r="E40" s="228"/>
      <c r="F40" s="169"/>
      <c r="G40" s="169"/>
      <c r="H40" s="169"/>
      <c r="I40" s="169"/>
      <c r="J40" s="141"/>
    </row>
    <row r="41" spans="1:10" s="1" customFormat="1" ht="20.100000000000001" customHeight="1">
      <c r="A41" s="72" t="s">
        <v>50</v>
      </c>
      <c r="B41" s="9">
        <v>1057</v>
      </c>
      <c r="C41" s="169"/>
      <c r="D41" s="169"/>
      <c r="E41" s="228"/>
      <c r="F41" s="169"/>
      <c r="G41" s="169"/>
      <c r="H41" s="169"/>
      <c r="I41" s="169"/>
      <c r="J41" s="141"/>
    </row>
    <row r="42" spans="1:10" s="1" customFormat="1" ht="37.5">
      <c r="A42" s="72" t="s">
        <v>51</v>
      </c>
      <c r="B42" s="9">
        <v>1058</v>
      </c>
      <c r="C42" s="169">
        <v>75</v>
      </c>
      <c r="D42" s="169"/>
      <c r="E42" s="228">
        <v>67</v>
      </c>
      <c r="F42" s="169">
        <v>2</v>
      </c>
      <c r="G42" s="169">
        <v>14</v>
      </c>
      <c r="H42" s="169">
        <v>19</v>
      </c>
      <c r="I42" s="169">
        <v>26</v>
      </c>
      <c r="J42" s="141"/>
    </row>
    <row r="43" spans="1:10" s="1" customFormat="1" ht="37.5">
      <c r="A43" s="72" t="s">
        <v>52</v>
      </c>
      <c r="B43" s="9">
        <v>1059</v>
      </c>
      <c r="C43" s="169"/>
      <c r="D43" s="169"/>
      <c r="E43" s="228"/>
      <c r="F43" s="169"/>
      <c r="G43" s="169"/>
      <c r="H43" s="169"/>
      <c r="I43" s="169"/>
      <c r="J43" s="141"/>
    </row>
    <row r="44" spans="1:10" s="1" customFormat="1" ht="75">
      <c r="A44" s="72" t="s">
        <v>82</v>
      </c>
      <c r="B44" s="9">
        <v>1060</v>
      </c>
      <c r="C44" s="169"/>
      <c r="D44" s="169"/>
      <c r="E44" s="228"/>
      <c r="F44" s="169"/>
      <c r="G44" s="169"/>
      <c r="H44" s="169"/>
      <c r="I44" s="169"/>
      <c r="J44" s="141"/>
    </row>
    <row r="45" spans="1:10" s="1" customFormat="1" ht="20.100000000000001" customHeight="1">
      <c r="A45" s="72" t="s">
        <v>53</v>
      </c>
      <c r="B45" s="9">
        <v>1061</v>
      </c>
      <c r="C45" s="169"/>
      <c r="D45" s="169"/>
      <c r="E45" s="228"/>
      <c r="F45" s="169"/>
      <c r="G45" s="169"/>
      <c r="H45" s="169"/>
      <c r="I45" s="169"/>
      <c r="J45" s="141"/>
    </row>
    <row r="46" spans="1:10" s="1" customFormat="1" ht="42" customHeight="1">
      <c r="A46" s="72" t="s">
        <v>392</v>
      </c>
      <c r="B46" s="9">
        <v>1062</v>
      </c>
      <c r="C46" s="169">
        <f t="shared" ref="C46" si="4">C47</f>
        <v>257</v>
      </c>
      <c r="D46" s="169"/>
      <c r="E46" s="228">
        <f>E47</f>
        <v>151</v>
      </c>
      <c r="F46" s="169">
        <v>0</v>
      </c>
      <c r="G46" s="169">
        <v>0</v>
      </c>
      <c r="H46" s="169">
        <f t="shared" ref="H46" si="5">H47</f>
        <v>0</v>
      </c>
      <c r="I46" s="169">
        <f>I47</f>
        <v>0</v>
      </c>
      <c r="J46" s="141"/>
    </row>
    <row r="47" spans="1:10" s="1" customFormat="1">
      <c r="A47" s="72" t="s">
        <v>408</v>
      </c>
      <c r="B47" s="6" t="s">
        <v>383</v>
      </c>
      <c r="C47" s="169">
        <v>257</v>
      </c>
      <c r="D47" s="169"/>
      <c r="E47" s="228">
        <v>151</v>
      </c>
      <c r="F47" s="169">
        <v>0</v>
      </c>
      <c r="G47" s="169">
        <v>0</v>
      </c>
      <c r="H47" s="169">
        <f>I47/4*3</f>
        <v>0</v>
      </c>
      <c r="I47" s="169">
        <v>0</v>
      </c>
      <c r="J47" s="141"/>
    </row>
    <row r="48" spans="1:10" ht="20.100000000000001" customHeight="1">
      <c r="A48" s="72" t="s">
        <v>242</v>
      </c>
      <c r="B48" s="9">
        <v>1070</v>
      </c>
      <c r="C48" s="170">
        <f>SUM(C49:C54)</f>
        <v>0</v>
      </c>
      <c r="D48" s="170">
        <f t="shared" ref="D48:I48" si="6">SUM(D49:D54)</f>
        <v>0</v>
      </c>
      <c r="E48" s="260">
        <f t="shared" si="6"/>
        <v>0</v>
      </c>
      <c r="F48" s="170">
        <f t="shared" si="6"/>
        <v>0</v>
      </c>
      <c r="G48" s="170">
        <f t="shared" si="6"/>
        <v>0</v>
      </c>
      <c r="H48" s="170">
        <f t="shared" si="6"/>
        <v>0</v>
      </c>
      <c r="I48" s="170">
        <f t="shared" si="6"/>
        <v>0</v>
      </c>
      <c r="J48" s="141"/>
    </row>
    <row r="49" spans="1:10" s="1" customFormat="1" ht="20.100000000000001" customHeight="1">
      <c r="A49" s="72" t="s">
        <v>201</v>
      </c>
      <c r="B49" s="9">
        <v>1071</v>
      </c>
      <c r="C49" s="169"/>
      <c r="D49" s="169"/>
      <c r="E49" s="228"/>
      <c r="F49" s="169"/>
      <c r="G49" s="169"/>
      <c r="H49" s="169"/>
      <c r="I49" s="169"/>
      <c r="J49" s="141"/>
    </row>
    <row r="50" spans="1:10" s="1" customFormat="1" ht="20.100000000000001" customHeight="1">
      <c r="A50" s="72" t="s">
        <v>202</v>
      </c>
      <c r="B50" s="9">
        <v>1072</v>
      </c>
      <c r="C50" s="169"/>
      <c r="D50" s="169"/>
      <c r="E50" s="228"/>
      <c r="F50" s="169"/>
      <c r="G50" s="169"/>
      <c r="H50" s="169"/>
      <c r="I50" s="169"/>
      <c r="J50" s="141"/>
    </row>
    <row r="51" spans="1:10" s="1" customFormat="1" ht="20.100000000000001" customHeight="1">
      <c r="A51" s="72" t="s">
        <v>42</v>
      </c>
      <c r="B51" s="9">
        <v>1073</v>
      </c>
      <c r="C51" s="169"/>
      <c r="D51" s="169"/>
      <c r="E51" s="228"/>
      <c r="F51" s="169"/>
      <c r="G51" s="169"/>
      <c r="H51" s="169"/>
      <c r="I51" s="169"/>
      <c r="J51" s="141"/>
    </row>
    <row r="52" spans="1:10" s="1" customFormat="1" ht="37.5">
      <c r="A52" s="72" t="s">
        <v>66</v>
      </c>
      <c r="B52" s="9">
        <v>1074</v>
      </c>
      <c r="C52" s="169"/>
      <c r="D52" s="169"/>
      <c r="E52" s="228"/>
      <c r="F52" s="169"/>
      <c r="G52" s="169"/>
      <c r="H52" s="169"/>
      <c r="I52" s="169"/>
      <c r="J52" s="141"/>
    </row>
    <row r="53" spans="1:10" s="1" customFormat="1" ht="20.100000000000001" customHeight="1">
      <c r="A53" s="72" t="s">
        <v>85</v>
      </c>
      <c r="B53" s="9">
        <v>1075</v>
      </c>
      <c r="C53" s="169"/>
      <c r="D53" s="169"/>
      <c r="E53" s="228"/>
      <c r="F53" s="169"/>
      <c r="G53" s="169"/>
      <c r="H53" s="169"/>
      <c r="I53" s="169"/>
      <c r="J53" s="141"/>
    </row>
    <row r="54" spans="1:10" s="1" customFormat="1" ht="20.100000000000001" customHeight="1">
      <c r="A54" s="72" t="s">
        <v>138</v>
      </c>
      <c r="B54" s="9">
        <v>1076</v>
      </c>
      <c r="C54" s="169"/>
      <c r="D54" s="169"/>
      <c r="E54" s="228"/>
      <c r="F54" s="169"/>
      <c r="G54" s="169"/>
      <c r="H54" s="169"/>
      <c r="I54" s="169"/>
      <c r="J54" s="141"/>
    </row>
    <row r="55" spans="1:10" s="1" customFormat="1" ht="37.5">
      <c r="A55" s="161" t="s">
        <v>87</v>
      </c>
      <c r="B55" s="9">
        <v>1080</v>
      </c>
      <c r="C55" s="170">
        <f>SUM(C56:C60)</f>
        <v>2168</v>
      </c>
      <c r="D55" s="170">
        <f t="shared" ref="D55:I55" si="7">SUM(D56:D60)</f>
        <v>0</v>
      </c>
      <c r="E55" s="260">
        <f t="shared" si="7"/>
        <v>598</v>
      </c>
      <c r="F55" s="170">
        <f t="shared" si="7"/>
        <v>28</v>
      </c>
      <c r="G55" s="170">
        <f t="shared" si="7"/>
        <v>83</v>
      </c>
      <c r="H55" s="170">
        <f t="shared" si="7"/>
        <v>143</v>
      </c>
      <c r="I55" s="170">
        <f t="shared" si="7"/>
        <v>192</v>
      </c>
      <c r="J55" s="141"/>
    </row>
    <row r="56" spans="1:10" s="1" customFormat="1" ht="20.100000000000001" customHeight="1">
      <c r="A56" s="72" t="s">
        <v>76</v>
      </c>
      <c r="B56" s="162">
        <v>1081</v>
      </c>
      <c r="C56" s="169"/>
      <c r="D56" s="169"/>
      <c r="E56" s="228"/>
      <c r="F56" s="169"/>
      <c r="G56" s="169"/>
      <c r="H56" s="169"/>
      <c r="I56" s="169"/>
      <c r="J56" s="141"/>
    </row>
    <row r="57" spans="1:10" s="1" customFormat="1" ht="37.5">
      <c r="A57" s="72" t="s">
        <v>54</v>
      </c>
      <c r="B57" s="162">
        <v>1082</v>
      </c>
      <c r="C57" s="169"/>
      <c r="D57" s="169"/>
      <c r="E57" s="228"/>
      <c r="F57" s="169"/>
      <c r="G57" s="169"/>
      <c r="H57" s="169"/>
      <c r="I57" s="169"/>
      <c r="J57" s="141"/>
    </row>
    <row r="58" spans="1:10" s="1" customFormat="1" ht="37.5">
      <c r="A58" s="72" t="s">
        <v>64</v>
      </c>
      <c r="B58" s="162">
        <v>1083</v>
      </c>
      <c r="C58" s="169"/>
      <c r="D58" s="169"/>
      <c r="E58" s="228"/>
      <c r="F58" s="169"/>
      <c r="G58" s="169"/>
      <c r="H58" s="169"/>
      <c r="I58" s="169"/>
      <c r="J58" s="141"/>
    </row>
    <row r="59" spans="1:10" s="1" customFormat="1" ht="20.100000000000001" customHeight="1">
      <c r="A59" s="72" t="s">
        <v>234</v>
      </c>
      <c r="B59" s="162">
        <v>1084</v>
      </c>
      <c r="C59" s="169"/>
      <c r="D59" s="169"/>
      <c r="E59" s="228"/>
      <c r="F59" s="169"/>
      <c r="G59" s="169"/>
      <c r="H59" s="169"/>
      <c r="I59" s="169"/>
      <c r="J59" s="141"/>
    </row>
    <row r="60" spans="1:10" s="1" customFormat="1" ht="20.100000000000001" customHeight="1">
      <c r="A60" s="72" t="s">
        <v>263</v>
      </c>
      <c r="B60" s="162">
        <v>1085</v>
      </c>
      <c r="C60" s="169">
        <f t="shared" ref="C60:E60" si="8">SUM(C61:C63)</f>
        <v>2168</v>
      </c>
      <c r="D60" s="169"/>
      <c r="E60" s="228">
        <f t="shared" si="8"/>
        <v>598</v>
      </c>
      <c r="F60" s="169">
        <f t="shared" ref="F60:I60" si="9">SUM(F61:F63)</f>
        <v>28</v>
      </c>
      <c r="G60" s="169">
        <f t="shared" si="9"/>
        <v>83</v>
      </c>
      <c r="H60" s="169">
        <f t="shared" si="9"/>
        <v>143</v>
      </c>
      <c r="I60" s="169">
        <f t="shared" si="9"/>
        <v>192</v>
      </c>
      <c r="J60" s="141"/>
    </row>
    <row r="61" spans="1:10" s="1" customFormat="1" ht="20.100000000000001" customHeight="1">
      <c r="A61" s="161" t="s">
        <v>396</v>
      </c>
      <c r="B61" s="6" t="s">
        <v>393</v>
      </c>
      <c r="C61" s="169">
        <v>1047</v>
      </c>
      <c r="D61" s="169"/>
      <c r="E61" s="228">
        <v>336</v>
      </c>
      <c r="F61" s="169">
        <v>13</v>
      </c>
      <c r="G61" s="169">
        <v>43</v>
      </c>
      <c r="H61" s="169">
        <v>61</v>
      </c>
      <c r="I61" s="169">
        <v>74</v>
      </c>
      <c r="J61" s="141"/>
    </row>
    <row r="62" spans="1:10" s="1" customFormat="1" ht="20.100000000000001" customHeight="1">
      <c r="A62" s="161" t="s">
        <v>397</v>
      </c>
      <c r="B62" s="6" t="s">
        <v>394</v>
      </c>
      <c r="C62" s="169">
        <v>801</v>
      </c>
      <c r="D62" s="169"/>
      <c r="E62" s="228">
        <v>152</v>
      </c>
      <c r="F62" s="169">
        <v>5</v>
      </c>
      <c r="G62" s="169">
        <v>10</v>
      </c>
      <c r="H62" s="169">
        <v>32</v>
      </c>
      <c r="I62" s="169">
        <v>48</v>
      </c>
      <c r="J62" s="141"/>
    </row>
    <row r="63" spans="1:10" s="1" customFormat="1" ht="20.100000000000001" customHeight="1">
      <c r="A63" s="161" t="s">
        <v>384</v>
      </c>
      <c r="B63" s="6" t="s">
        <v>395</v>
      </c>
      <c r="C63" s="169">
        <v>320</v>
      </c>
      <c r="D63" s="169"/>
      <c r="E63" s="228">
        <v>110</v>
      </c>
      <c r="F63" s="169">
        <v>10</v>
      </c>
      <c r="G63" s="169">
        <v>30</v>
      </c>
      <c r="H63" s="169">
        <v>50</v>
      </c>
      <c r="I63" s="169">
        <v>70</v>
      </c>
      <c r="J63" s="141"/>
    </row>
    <row r="64" spans="1:10" s="5" customFormat="1" ht="37.5">
      <c r="A64" s="160" t="s">
        <v>4</v>
      </c>
      <c r="B64" s="11">
        <v>1100</v>
      </c>
      <c r="C64" s="170">
        <f t="shared" ref="C64:I64" si="10">C19+C20-C24-C48-C55</f>
        <v>51</v>
      </c>
      <c r="D64" s="170">
        <f t="shared" si="10"/>
        <v>0</v>
      </c>
      <c r="E64" s="260">
        <f t="shared" si="10"/>
        <v>546</v>
      </c>
      <c r="F64" s="170">
        <f t="shared" si="10"/>
        <v>111</v>
      </c>
      <c r="G64" s="170">
        <f t="shared" si="10"/>
        <v>775</v>
      </c>
      <c r="H64" s="170">
        <f t="shared" si="10"/>
        <v>21</v>
      </c>
      <c r="I64" s="170">
        <f t="shared" si="10"/>
        <v>77</v>
      </c>
      <c r="J64" s="142"/>
    </row>
    <row r="65" spans="1:10" ht="37.5">
      <c r="A65" s="72" t="s">
        <v>122</v>
      </c>
      <c r="B65" s="9">
        <v>1110</v>
      </c>
      <c r="C65" s="169"/>
      <c r="D65" s="169"/>
      <c r="E65" s="228"/>
      <c r="F65" s="169"/>
      <c r="G65" s="169"/>
      <c r="H65" s="169"/>
      <c r="I65" s="169"/>
      <c r="J65" s="141"/>
    </row>
    <row r="66" spans="1:10" ht="20.100000000000001" customHeight="1">
      <c r="A66" s="72" t="s">
        <v>123</v>
      </c>
      <c r="B66" s="9">
        <v>1120</v>
      </c>
      <c r="C66" s="169"/>
      <c r="D66" s="169"/>
      <c r="E66" s="228"/>
      <c r="F66" s="169"/>
      <c r="G66" s="169"/>
      <c r="H66" s="169"/>
      <c r="I66" s="169"/>
      <c r="J66" s="141"/>
    </row>
    <row r="67" spans="1:10" ht="37.5">
      <c r="A67" s="72" t="s">
        <v>125</v>
      </c>
      <c r="B67" s="9">
        <v>1130</v>
      </c>
      <c r="C67" s="169"/>
      <c r="D67" s="169"/>
      <c r="E67" s="228"/>
      <c r="F67" s="169"/>
      <c r="G67" s="169"/>
      <c r="H67" s="169"/>
      <c r="I67" s="169"/>
      <c r="J67" s="141"/>
    </row>
    <row r="68" spans="1:10" ht="20.100000000000001" customHeight="1">
      <c r="A68" s="72" t="s">
        <v>124</v>
      </c>
      <c r="B68" s="9">
        <v>1140</v>
      </c>
      <c r="C68" s="169"/>
      <c r="D68" s="169"/>
      <c r="E68" s="228"/>
      <c r="F68" s="169"/>
      <c r="G68" s="169"/>
      <c r="H68" s="169"/>
      <c r="I68" s="169"/>
      <c r="J68" s="141"/>
    </row>
    <row r="69" spans="1:10" ht="37.5">
      <c r="A69" s="229" t="s">
        <v>235</v>
      </c>
      <c r="B69" s="9">
        <v>1150</v>
      </c>
      <c r="C69" s="169">
        <v>21</v>
      </c>
      <c r="D69" s="228"/>
      <c r="E69" s="228"/>
      <c r="F69" s="169"/>
      <c r="G69" s="169"/>
      <c r="H69" s="169"/>
      <c r="I69" s="169"/>
      <c r="J69" s="141"/>
    </row>
    <row r="70" spans="1:10">
      <c r="A70" s="72" t="s">
        <v>411</v>
      </c>
      <c r="B70" s="6" t="s">
        <v>412</v>
      </c>
      <c r="C70" s="169">
        <v>21</v>
      </c>
      <c r="D70" s="169"/>
      <c r="E70" s="228"/>
      <c r="F70" s="169"/>
      <c r="G70" s="169"/>
      <c r="H70" s="169"/>
      <c r="I70" s="169"/>
      <c r="J70" s="141"/>
    </row>
    <row r="71" spans="1:10" ht="37.5">
      <c r="A71" s="72" t="s">
        <v>428</v>
      </c>
      <c r="B71" s="6" t="s">
        <v>427</v>
      </c>
      <c r="C71" s="169"/>
      <c r="D71" s="169"/>
      <c r="E71" s="228"/>
      <c r="F71" s="169"/>
      <c r="G71" s="169"/>
      <c r="H71" s="169"/>
      <c r="I71" s="169"/>
      <c r="J71" s="141"/>
    </row>
    <row r="72" spans="1:10" ht="20.100000000000001" customHeight="1">
      <c r="A72" s="72" t="s">
        <v>234</v>
      </c>
      <c r="B72" s="9">
        <v>1151</v>
      </c>
      <c r="C72" s="169"/>
      <c r="D72" s="169"/>
      <c r="E72" s="228"/>
      <c r="F72" s="169"/>
      <c r="G72" s="169"/>
      <c r="H72" s="169"/>
      <c r="I72" s="169"/>
      <c r="J72" s="141"/>
    </row>
    <row r="73" spans="1:10" ht="37.5">
      <c r="A73" s="72" t="s">
        <v>236</v>
      </c>
      <c r="B73" s="9">
        <v>1160</v>
      </c>
      <c r="C73" s="169"/>
      <c r="D73" s="169"/>
      <c r="E73" s="228"/>
      <c r="F73" s="169"/>
      <c r="G73" s="169"/>
      <c r="H73" s="169"/>
      <c r="I73" s="169"/>
      <c r="J73" s="141"/>
    </row>
    <row r="74" spans="1:10" ht="20.100000000000001" customHeight="1">
      <c r="A74" s="72" t="s">
        <v>234</v>
      </c>
      <c r="B74" s="9">
        <v>1161</v>
      </c>
      <c r="C74" s="169"/>
      <c r="D74" s="169"/>
      <c r="E74" s="228"/>
      <c r="F74" s="169"/>
      <c r="G74" s="169"/>
      <c r="H74" s="169"/>
      <c r="I74" s="169"/>
      <c r="J74" s="141"/>
    </row>
    <row r="75" spans="1:10" s="5" customFormat="1" ht="37.5">
      <c r="A75" s="160" t="s">
        <v>106</v>
      </c>
      <c r="B75" s="11">
        <v>1170</v>
      </c>
      <c r="C75" s="170">
        <f>C64+C65+C66+C69-C68-C67-C73</f>
        <v>72</v>
      </c>
      <c r="D75" s="170">
        <f t="shared" ref="D75:I75" si="11">D64+D65+D66+D69-D68-D67-D73</f>
        <v>0</v>
      </c>
      <c r="E75" s="260">
        <f t="shared" si="11"/>
        <v>546</v>
      </c>
      <c r="F75" s="170">
        <f t="shared" si="11"/>
        <v>111</v>
      </c>
      <c r="G75" s="170">
        <f t="shared" si="11"/>
        <v>775</v>
      </c>
      <c r="H75" s="170">
        <f t="shared" si="11"/>
        <v>21</v>
      </c>
      <c r="I75" s="170">
        <f t="shared" si="11"/>
        <v>77</v>
      </c>
      <c r="J75" s="142"/>
    </row>
    <row r="76" spans="1:10" ht="20.100000000000001" customHeight="1">
      <c r="A76" s="72" t="s">
        <v>152</v>
      </c>
      <c r="B76" s="9">
        <v>1180</v>
      </c>
      <c r="C76" s="169">
        <f>C75*18%</f>
        <v>12.959999999999999</v>
      </c>
      <c r="D76" s="169">
        <f>D75*18%</f>
        <v>0</v>
      </c>
      <c r="E76" s="228">
        <f>E75*18%</f>
        <v>98.28</v>
      </c>
      <c r="F76" s="169"/>
      <c r="G76" s="169"/>
      <c r="H76" s="228"/>
      <c r="I76" s="169">
        <f>ROUND(I75*18%,0)</f>
        <v>14</v>
      </c>
      <c r="J76" s="219"/>
    </row>
    <row r="77" spans="1:10" ht="37.5">
      <c r="A77" s="72" t="s">
        <v>153</v>
      </c>
      <c r="B77" s="9">
        <v>1190</v>
      </c>
      <c r="C77" s="169"/>
      <c r="D77" s="169"/>
      <c r="E77" s="228"/>
      <c r="F77" s="169"/>
      <c r="G77" s="169"/>
      <c r="H77" s="169"/>
      <c r="I77" s="169"/>
      <c r="J77" s="141"/>
    </row>
    <row r="78" spans="1:10" s="5" customFormat="1" ht="37.5">
      <c r="A78" s="160" t="s">
        <v>107</v>
      </c>
      <c r="B78" s="11">
        <v>1200</v>
      </c>
      <c r="C78" s="170">
        <f t="shared" ref="C78:I78" si="12">C75-C76-C77</f>
        <v>59.04</v>
      </c>
      <c r="D78" s="170">
        <f t="shared" si="12"/>
        <v>0</v>
      </c>
      <c r="E78" s="260">
        <f t="shared" si="12"/>
        <v>447.72</v>
      </c>
      <c r="F78" s="170">
        <f t="shared" si="12"/>
        <v>111</v>
      </c>
      <c r="G78" s="170">
        <f t="shared" si="12"/>
        <v>775</v>
      </c>
      <c r="H78" s="170">
        <f t="shared" si="12"/>
        <v>21</v>
      </c>
      <c r="I78" s="170">
        <f t="shared" si="12"/>
        <v>63</v>
      </c>
      <c r="J78" s="142"/>
    </row>
    <row r="79" spans="1:10" ht="20.100000000000001" customHeight="1">
      <c r="A79" s="72" t="s">
        <v>24</v>
      </c>
      <c r="B79" s="6">
        <v>1201</v>
      </c>
      <c r="C79" s="170">
        <f>SUMIF(C78,"&gt;0")</f>
        <v>59.04</v>
      </c>
      <c r="D79" s="170">
        <f t="shared" ref="D79:I79" si="13">SUMIF(D78,"&gt;0")</f>
        <v>0</v>
      </c>
      <c r="E79" s="260">
        <f t="shared" si="13"/>
        <v>447.72</v>
      </c>
      <c r="F79" s="170">
        <f t="shared" si="13"/>
        <v>111</v>
      </c>
      <c r="G79" s="170">
        <f t="shared" si="13"/>
        <v>775</v>
      </c>
      <c r="H79" s="170">
        <f t="shared" si="13"/>
        <v>21</v>
      </c>
      <c r="I79" s="170">
        <f t="shared" si="13"/>
        <v>63</v>
      </c>
      <c r="J79" s="141"/>
    </row>
    <row r="80" spans="1:10" ht="20.100000000000001" customHeight="1">
      <c r="A80" s="72" t="s">
        <v>25</v>
      </c>
      <c r="B80" s="6">
        <v>1202</v>
      </c>
      <c r="C80" s="170">
        <f>SUMIF(C78,"&lt;0")</f>
        <v>0</v>
      </c>
      <c r="D80" s="170">
        <f t="shared" ref="D80:I80" si="14">SUMIF(D78,"&lt;0")</f>
        <v>0</v>
      </c>
      <c r="E80" s="260">
        <f t="shared" si="14"/>
        <v>0</v>
      </c>
      <c r="F80" s="170">
        <f t="shared" si="14"/>
        <v>0</v>
      </c>
      <c r="G80" s="170">
        <f t="shared" si="14"/>
        <v>0</v>
      </c>
      <c r="H80" s="170">
        <f t="shared" si="14"/>
        <v>0</v>
      </c>
      <c r="I80" s="170">
        <f t="shared" si="14"/>
        <v>0</v>
      </c>
      <c r="J80" s="141"/>
    </row>
    <row r="81" spans="1:10" ht="19.5" customHeight="1">
      <c r="A81" s="72" t="s">
        <v>264</v>
      </c>
      <c r="B81" s="9">
        <v>1210</v>
      </c>
      <c r="C81" s="169"/>
      <c r="D81" s="169"/>
      <c r="E81" s="228"/>
      <c r="F81" s="169"/>
      <c r="G81" s="169"/>
      <c r="H81" s="169"/>
      <c r="I81" s="169"/>
      <c r="J81" s="141"/>
    </row>
    <row r="82" spans="1:10" s="5" customFormat="1" ht="20.100000000000001" customHeight="1">
      <c r="A82" s="308" t="s">
        <v>306</v>
      </c>
      <c r="B82" s="309"/>
      <c r="C82" s="309"/>
      <c r="D82" s="309"/>
      <c r="E82" s="309"/>
      <c r="F82" s="309"/>
      <c r="G82" s="309"/>
      <c r="H82" s="309"/>
      <c r="I82" s="309"/>
      <c r="J82" s="310"/>
    </row>
    <row r="83" spans="1:10" ht="42.75" customHeight="1">
      <c r="A83" s="71" t="s">
        <v>286</v>
      </c>
      <c r="B83" s="6">
        <v>1300</v>
      </c>
      <c r="C83" s="170">
        <f t="shared" ref="C83:I83" si="15">C20-C55</f>
        <v>2227</v>
      </c>
      <c r="D83" s="170">
        <f t="shared" si="15"/>
        <v>0</v>
      </c>
      <c r="E83" s="260">
        <f t="shared" si="15"/>
        <v>3993</v>
      </c>
      <c r="F83" s="170">
        <f t="shared" si="15"/>
        <v>1556</v>
      </c>
      <c r="G83" s="170">
        <f t="shared" si="15"/>
        <v>2906</v>
      </c>
      <c r="H83" s="170">
        <f t="shared" si="15"/>
        <v>3877</v>
      </c>
      <c r="I83" s="170">
        <f t="shared" si="15"/>
        <v>5228</v>
      </c>
      <c r="J83" s="141"/>
    </row>
    <row r="84" spans="1:10" ht="75">
      <c r="A84" s="72" t="s">
        <v>280</v>
      </c>
      <c r="B84" s="6">
        <v>1310</v>
      </c>
      <c r="C84" s="170">
        <f t="shared" ref="C84:I84" si="16">C65+C66-C67-C68</f>
        <v>0</v>
      </c>
      <c r="D84" s="170">
        <f t="shared" si="16"/>
        <v>0</v>
      </c>
      <c r="E84" s="260">
        <f t="shared" si="16"/>
        <v>0</v>
      </c>
      <c r="F84" s="170">
        <f t="shared" si="16"/>
        <v>0</v>
      </c>
      <c r="G84" s="170">
        <f t="shared" si="16"/>
        <v>0</v>
      </c>
      <c r="H84" s="170">
        <f t="shared" si="16"/>
        <v>0</v>
      </c>
      <c r="I84" s="170">
        <f t="shared" si="16"/>
        <v>0</v>
      </c>
      <c r="J84" s="141"/>
    </row>
    <row r="85" spans="1:10" ht="42.75" customHeight="1">
      <c r="A85" s="71" t="s">
        <v>281</v>
      </c>
      <c r="B85" s="6">
        <v>1320</v>
      </c>
      <c r="C85" s="170">
        <f>C69-C73</f>
        <v>21</v>
      </c>
      <c r="D85" s="170">
        <f t="shared" ref="D85:I85" si="17">D69-D73</f>
        <v>0</v>
      </c>
      <c r="E85" s="260">
        <f t="shared" si="17"/>
        <v>0</v>
      </c>
      <c r="F85" s="170">
        <f t="shared" si="17"/>
        <v>0</v>
      </c>
      <c r="G85" s="170">
        <f t="shared" si="17"/>
        <v>0</v>
      </c>
      <c r="H85" s="170">
        <f t="shared" si="17"/>
        <v>0</v>
      </c>
      <c r="I85" s="170">
        <f t="shared" si="17"/>
        <v>0</v>
      </c>
      <c r="J85" s="141"/>
    </row>
    <row r="86" spans="1:10" ht="56.25">
      <c r="A86" s="8" t="s">
        <v>362</v>
      </c>
      <c r="B86" s="9">
        <v>1330</v>
      </c>
      <c r="C86" s="170">
        <f t="shared" ref="C86:I86" si="18">C7+C20+C65+C66+C69</f>
        <v>5460</v>
      </c>
      <c r="D86" s="170">
        <f t="shared" si="18"/>
        <v>0</v>
      </c>
      <c r="E86" s="260">
        <f t="shared" si="18"/>
        <v>5515</v>
      </c>
      <c r="F86" s="170">
        <f t="shared" si="18"/>
        <v>1697</v>
      </c>
      <c r="G86" s="170">
        <f t="shared" si="18"/>
        <v>3716</v>
      </c>
      <c r="H86" s="170">
        <f t="shared" si="18"/>
        <v>4853</v>
      </c>
      <c r="I86" s="170">
        <f t="shared" si="18"/>
        <v>6444</v>
      </c>
      <c r="J86" s="141"/>
    </row>
    <row r="87" spans="1:10" ht="75">
      <c r="A87" s="8" t="s">
        <v>363</v>
      </c>
      <c r="B87" s="9">
        <v>1340</v>
      </c>
      <c r="C87" s="170">
        <f>C9+C24+C48+C55+C67+C68+C73+C76+C77</f>
        <v>5400.96</v>
      </c>
      <c r="D87" s="170">
        <f t="shared" ref="D87:I87" si="19">D9+D24+D48+D55+D67+D68+D73+D76+D77</f>
        <v>0</v>
      </c>
      <c r="E87" s="260">
        <f t="shared" si="19"/>
        <v>5067.28</v>
      </c>
      <c r="F87" s="170">
        <f t="shared" si="19"/>
        <v>1586</v>
      </c>
      <c r="G87" s="170">
        <f t="shared" si="19"/>
        <v>2941</v>
      </c>
      <c r="H87" s="170">
        <f t="shared" si="19"/>
        <v>4832</v>
      </c>
      <c r="I87" s="170">
        <f t="shared" si="19"/>
        <v>6381</v>
      </c>
      <c r="J87" s="141"/>
    </row>
    <row r="88" spans="1:10" ht="20.100000000000001" customHeight="1">
      <c r="A88" s="308" t="s">
        <v>182</v>
      </c>
      <c r="B88" s="309"/>
      <c r="C88" s="309"/>
      <c r="D88" s="309"/>
      <c r="E88" s="309"/>
      <c r="F88" s="309"/>
      <c r="G88" s="309"/>
      <c r="H88" s="309"/>
      <c r="I88" s="309"/>
      <c r="J88" s="310"/>
    </row>
    <row r="89" spans="1:10" ht="37.5">
      <c r="A89" s="8" t="s">
        <v>282</v>
      </c>
      <c r="B89" s="9">
        <v>1400</v>
      </c>
      <c r="C89" s="170">
        <f>C64</f>
        <v>51</v>
      </c>
      <c r="D89" s="170">
        <f t="shared" ref="D89:I89" si="20">D64</f>
        <v>0</v>
      </c>
      <c r="E89" s="260">
        <f t="shared" si="20"/>
        <v>546</v>
      </c>
      <c r="F89" s="170">
        <f t="shared" si="20"/>
        <v>111</v>
      </c>
      <c r="G89" s="170">
        <f t="shared" si="20"/>
        <v>775</v>
      </c>
      <c r="H89" s="170">
        <f t="shared" si="20"/>
        <v>21</v>
      </c>
      <c r="I89" s="170">
        <f t="shared" si="20"/>
        <v>77</v>
      </c>
      <c r="J89" s="141"/>
    </row>
    <row r="90" spans="1:10">
      <c r="A90" s="8" t="s">
        <v>283</v>
      </c>
      <c r="B90" s="9">
        <v>1401</v>
      </c>
      <c r="C90" s="170">
        <f>C101</f>
        <v>260</v>
      </c>
      <c r="D90" s="170">
        <f t="shared" ref="D90:I90" si="21">D101</f>
        <v>0</v>
      </c>
      <c r="E90" s="260">
        <f t="shared" si="21"/>
        <v>512</v>
      </c>
      <c r="F90" s="170">
        <f t="shared" si="21"/>
        <v>29</v>
      </c>
      <c r="G90" s="170">
        <f t="shared" si="21"/>
        <v>160</v>
      </c>
      <c r="H90" s="170">
        <f t="shared" si="21"/>
        <v>232</v>
      </c>
      <c r="I90" s="170">
        <f t="shared" si="21"/>
        <v>268</v>
      </c>
      <c r="J90" s="141"/>
    </row>
    <row r="91" spans="1:10" ht="37.5">
      <c r="A91" s="8" t="s">
        <v>284</v>
      </c>
      <c r="B91" s="9">
        <v>1402</v>
      </c>
      <c r="C91" s="170">
        <f>C23</f>
        <v>0</v>
      </c>
      <c r="D91" s="170">
        <f t="shared" ref="D91:I91" si="22">D23</f>
        <v>0</v>
      </c>
      <c r="E91" s="260">
        <f t="shared" si="22"/>
        <v>0</v>
      </c>
      <c r="F91" s="170">
        <f t="shared" si="22"/>
        <v>0</v>
      </c>
      <c r="G91" s="170">
        <f t="shared" si="22"/>
        <v>0</v>
      </c>
      <c r="H91" s="170">
        <f t="shared" si="22"/>
        <v>0</v>
      </c>
      <c r="I91" s="170">
        <f t="shared" si="22"/>
        <v>0</v>
      </c>
      <c r="J91" s="141"/>
    </row>
    <row r="92" spans="1:10" ht="37.5">
      <c r="A92" s="8" t="s">
        <v>285</v>
      </c>
      <c r="B92" s="9">
        <v>1403</v>
      </c>
      <c r="C92" s="170">
        <f>C59</f>
        <v>0</v>
      </c>
      <c r="D92" s="170">
        <f t="shared" ref="D92:I92" si="23">D59</f>
        <v>0</v>
      </c>
      <c r="E92" s="260">
        <f t="shared" si="23"/>
        <v>0</v>
      </c>
      <c r="F92" s="170">
        <f t="shared" si="23"/>
        <v>0</v>
      </c>
      <c r="G92" s="170">
        <f t="shared" si="23"/>
        <v>0</v>
      </c>
      <c r="H92" s="170">
        <f t="shared" si="23"/>
        <v>0</v>
      </c>
      <c r="I92" s="170">
        <f t="shared" si="23"/>
        <v>0</v>
      </c>
      <c r="J92" s="141"/>
    </row>
    <row r="93" spans="1:10" ht="37.5">
      <c r="A93" s="8" t="s">
        <v>348</v>
      </c>
      <c r="B93" s="9">
        <v>1404</v>
      </c>
      <c r="C93" s="169"/>
      <c r="D93" s="169"/>
      <c r="E93" s="228"/>
      <c r="F93" s="169"/>
      <c r="G93" s="169"/>
      <c r="H93" s="169"/>
      <c r="I93" s="169"/>
      <c r="J93" s="141"/>
    </row>
    <row r="94" spans="1:10" s="5" customFormat="1" ht="20.100000000000001" customHeight="1">
      <c r="A94" s="10" t="s">
        <v>156</v>
      </c>
      <c r="B94" s="73">
        <v>1410</v>
      </c>
      <c r="C94" s="171">
        <f>C89+C90-C91+C92</f>
        <v>311</v>
      </c>
      <c r="D94" s="171">
        <f t="shared" ref="D94:I94" si="24">D89+D90-D91+D92</f>
        <v>0</v>
      </c>
      <c r="E94" s="261">
        <f t="shared" si="24"/>
        <v>1058</v>
      </c>
      <c r="F94" s="171">
        <f t="shared" si="24"/>
        <v>140</v>
      </c>
      <c r="G94" s="171">
        <f t="shared" si="24"/>
        <v>935</v>
      </c>
      <c r="H94" s="171">
        <f t="shared" si="24"/>
        <v>253</v>
      </c>
      <c r="I94" s="171">
        <f t="shared" si="24"/>
        <v>345</v>
      </c>
      <c r="J94" s="142"/>
    </row>
    <row r="95" spans="1:10" ht="20.100000000000001" customHeight="1">
      <c r="A95" s="308" t="s">
        <v>251</v>
      </c>
      <c r="B95" s="309"/>
      <c r="C95" s="309"/>
      <c r="D95" s="309"/>
      <c r="E95" s="309"/>
      <c r="F95" s="309"/>
      <c r="G95" s="309"/>
      <c r="H95" s="309"/>
      <c r="I95" s="309"/>
      <c r="J95" s="310"/>
    </row>
    <row r="96" spans="1:10" ht="20.100000000000001" customHeight="1">
      <c r="A96" s="8" t="s">
        <v>307</v>
      </c>
      <c r="B96" s="74">
        <v>1500</v>
      </c>
      <c r="C96" s="169">
        <f t="shared" ref="C96" si="25">C97+C98</f>
        <v>231</v>
      </c>
      <c r="D96" s="169">
        <f>D97+D98</f>
        <v>0</v>
      </c>
      <c r="E96" s="228">
        <f>E97+E98</f>
        <v>775</v>
      </c>
      <c r="F96" s="169">
        <f t="shared" ref="F96:I96" si="26">F97+F98</f>
        <v>158</v>
      </c>
      <c r="G96" s="169">
        <f t="shared" si="26"/>
        <v>270</v>
      </c>
      <c r="H96" s="169">
        <f t="shared" si="26"/>
        <v>802</v>
      </c>
      <c r="I96" s="169">
        <f t="shared" si="26"/>
        <v>1030</v>
      </c>
      <c r="J96" s="141"/>
    </row>
    <row r="97" spans="1:10" ht="20.100000000000001" customHeight="1">
      <c r="A97" s="8" t="s">
        <v>305</v>
      </c>
      <c r="B97" s="7">
        <v>1501</v>
      </c>
      <c r="C97" s="169">
        <f t="shared" ref="C97:D97" si="27">C10</f>
        <v>0</v>
      </c>
      <c r="D97" s="169">
        <f t="shared" si="27"/>
        <v>0</v>
      </c>
      <c r="E97" s="228">
        <f t="shared" ref="E97:I97" si="28">E10</f>
        <v>0</v>
      </c>
      <c r="F97" s="169">
        <f t="shared" si="28"/>
        <v>0</v>
      </c>
      <c r="G97" s="169">
        <f t="shared" si="28"/>
        <v>0</v>
      </c>
      <c r="H97" s="169">
        <f t="shared" si="28"/>
        <v>0</v>
      </c>
      <c r="I97" s="169">
        <f t="shared" si="28"/>
        <v>0</v>
      </c>
      <c r="J97" s="141"/>
    </row>
    <row r="98" spans="1:10" ht="20.100000000000001" customHeight="1">
      <c r="A98" s="8" t="s">
        <v>28</v>
      </c>
      <c r="B98" s="7">
        <v>1502</v>
      </c>
      <c r="C98" s="169">
        <f>C11+C12+101</f>
        <v>231</v>
      </c>
      <c r="D98" s="169"/>
      <c r="E98" s="228">
        <f>E11+E12+101</f>
        <v>775</v>
      </c>
      <c r="F98" s="228">
        <f>F11+F12+27</f>
        <v>158</v>
      </c>
      <c r="G98" s="228">
        <f>G11+G12+52</f>
        <v>270</v>
      </c>
      <c r="H98" s="228">
        <f>H11+H12+97</f>
        <v>802</v>
      </c>
      <c r="I98" s="228">
        <f>I11+I12+128</f>
        <v>1030</v>
      </c>
      <c r="J98" s="141"/>
    </row>
    <row r="99" spans="1:10" ht="20.100000000000001" customHeight="1">
      <c r="A99" s="8" t="s">
        <v>5</v>
      </c>
      <c r="B99" s="74">
        <v>1510</v>
      </c>
      <c r="C99" s="169">
        <f t="shared" ref="C99:D99" si="29">C13+C32+C51</f>
        <v>1104</v>
      </c>
      <c r="D99" s="169">
        <f t="shared" si="29"/>
        <v>0</v>
      </c>
      <c r="E99" s="228">
        <f t="shared" ref="E99:I99" si="30">E13+E32+E51</f>
        <v>1829</v>
      </c>
      <c r="F99" s="228">
        <f>F13+F32+F51</f>
        <v>1103</v>
      </c>
      <c r="G99" s="228">
        <f t="shared" si="30"/>
        <v>1982</v>
      </c>
      <c r="H99" s="228">
        <f t="shared" si="30"/>
        <v>2873</v>
      </c>
      <c r="I99" s="228">
        <f t="shared" si="30"/>
        <v>3832</v>
      </c>
      <c r="J99" s="141"/>
    </row>
    <row r="100" spans="1:10" ht="20.100000000000001" customHeight="1">
      <c r="A100" s="8" t="s">
        <v>6</v>
      </c>
      <c r="B100" s="74">
        <v>1520</v>
      </c>
      <c r="C100" s="169">
        <f t="shared" ref="C100:D100" si="31">C14+C33</f>
        <v>387</v>
      </c>
      <c r="D100" s="169">
        <f t="shared" si="31"/>
        <v>0</v>
      </c>
      <c r="E100" s="228">
        <f t="shared" ref="E100:I100" si="32">E14+E33</f>
        <v>393</v>
      </c>
      <c r="F100" s="228">
        <f>F14+F33</f>
        <v>231</v>
      </c>
      <c r="G100" s="228">
        <f t="shared" si="32"/>
        <v>329</v>
      </c>
      <c r="H100" s="228">
        <f t="shared" si="32"/>
        <v>623</v>
      </c>
      <c r="I100" s="228">
        <f t="shared" si="32"/>
        <v>840</v>
      </c>
      <c r="J100" s="141"/>
    </row>
    <row r="101" spans="1:10" ht="20.100000000000001" customHeight="1">
      <c r="A101" s="8" t="s">
        <v>7</v>
      </c>
      <c r="B101" s="74">
        <v>1530</v>
      </c>
      <c r="C101" s="169">
        <f>C16+C34+C52+25</f>
        <v>260</v>
      </c>
      <c r="D101" s="169"/>
      <c r="E101" s="228">
        <f>E16+E34+E52+25</f>
        <v>512</v>
      </c>
      <c r="F101" s="228">
        <f>F16+F34+F52+7</f>
        <v>29</v>
      </c>
      <c r="G101" s="228">
        <f>G16+G34+G52+15</f>
        <v>160</v>
      </c>
      <c r="H101" s="228">
        <f>H16+H34+H52+22</f>
        <v>232</v>
      </c>
      <c r="I101" s="228">
        <f>I16+I34+I52+31</f>
        <v>268</v>
      </c>
      <c r="J101" s="141"/>
    </row>
    <row r="102" spans="1:10" ht="20.100000000000001" customHeight="1">
      <c r="A102" s="8" t="s">
        <v>29</v>
      </c>
      <c r="B102" s="74">
        <v>1540</v>
      </c>
      <c r="C102" s="169">
        <f>C15+C17+C25+C26+C27+C28+C29+C30+C31+C35+C36+C37+C38+C39+C40+C41+C42+C43+C44+C45+C46+C49+C50+C53+C54+C55+C67+C73-101-25</f>
        <v>3406</v>
      </c>
      <c r="D102" s="169"/>
      <c r="E102" s="228">
        <f>E15+E17+E25+E26+E27+E28+E29+E30+E31+E35+E36+E37+E38+E39+E40+E41+E42+E43+E44+E45+E46+E49+E50+E53+E54+E55+E67+E73-101-25</f>
        <v>1460</v>
      </c>
      <c r="F102" s="228">
        <f>F15+F17+F25+F26+F27+F28+F29+F30+F31+F35+F36+F37+F38+F39+F40+F41+F42+F43+F44+F45+F46+F49+F50+F53+F54+F55+F67+F73-34</f>
        <v>65</v>
      </c>
      <c r="G102" s="228">
        <f>G15+G17+G25+G26+G27+G28+G29+G30+G31+G35+G36+G37+G38+G39+G40+G41+G42+G43+G44+G45+G46+G49+G50+G53+G54+G55+G67+G73-67</f>
        <v>200</v>
      </c>
      <c r="H102" s="228">
        <f>H15+H17+H25+H26+H27+H28+H29+H30+H31+H35+H36+H37+H38+H39+H40+H41+H42+H43+H44+H45+H46+H49+H50+H53+H54+H55+H67+H73-119</f>
        <v>302</v>
      </c>
      <c r="I102" s="228">
        <f>I15+I17+I25+I26+I27+I28+I29+I30+I31+I35+I36+I37+I38+I39+I40+I41+I42+I43+I44+I45+I46+I49+I50+I53+I54+I55+I67+I73-159</f>
        <v>397</v>
      </c>
      <c r="J102" s="246"/>
    </row>
    <row r="103" spans="1:10" s="5" customFormat="1" ht="20.100000000000001" customHeight="1">
      <c r="A103" s="10" t="s">
        <v>60</v>
      </c>
      <c r="B103" s="73">
        <v>1550</v>
      </c>
      <c r="C103" s="171">
        <f t="shared" ref="C103:I103" si="33">SUM(C96,C99:C102)</f>
        <v>5388</v>
      </c>
      <c r="D103" s="171">
        <f t="shared" si="33"/>
        <v>0</v>
      </c>
      <c r="E103" s="261">
        <f t="shared" si="33"/>
        <v>4969</v>
      </c>
      <c r="F103" s="171">
        <f t="shared" si="33"/>
        <v>1586</v>
      </c>
      <c r="G103" s="171">
        <f t="shared" si="33"/>
        <v>2941</v>
      </c>
      <c r="H103" s="171">
        <f t="shared" si="33"/>
        <v>4832</v>
      </c>
      <c r="I103" s="171">
        <f t="shared" si="33"/>
        <v>6367</v>
      </c>
      <c r="J103" s="142"/>
    </row>
    <row r="104" spans="1:10" s="5" customFormat="1" ht="20.100000000000001" customHeight="1">
      <c r="A104" s="132"/>
      <c r="B104" s="136"/>
      <c r="C104" s="137"/>
      <c r="D104" s="137"/>
      <c r="E104" s="251"/>
      <c r="F104" s="139"/>
      <c r="G104" s="139"/>
      <c r="H104" s="139"/>
      <c r="I104" s="139"/>
      <c r="J104" s="139"/>
    </row>
    <row r="105" spans="1:10" s="5" customFormat="1" ht="15.75" customHeight="1">
      <c r="A105" s="132"/>
      <c r="B105" s="136"/>
      <c r="C105" s="138"/>
      <c r="D105" s="138"/>
      <c r="E105" s="251"/>
      <c r="F105" s="139"/>
      <c r="G105" s="139"/>
      <c r="H105" s="139"/>
      <c r="I105" s="139"/>
      <c r="J105" s="139"/>
    </row>
    <row r="106" spans="1:10" ht="16.5" customHeight="1">
      <c r="A106" s="113"/>
      <c r="B106" s="109"/>
      <c r="C106" s="130"/>
      <c r="D106" s="131"/>
      <c r="E106" s="252"/>
      <c r="F106" s="108"/>
      <c r="G106" s="108"/>
      <c r="H106" s="108"/>
      <c r="I106" s="108"/>
      <c r="J106" s="108"/>
    </row>
    <row r="107" spans="1:10" s="218" customFormat="1" ht="16.5" customHeight="1">
      <c r="A107" s="215"/>
      <c r="B107" s="216"/>
      <c r="C107" s="217"/>
      <c r="D107" s="131"/>
      <c r="E107" s="253"/>
      <c r="F107" s="108"/>
      <c r="G107" s="108"/>
      <c r="H107" s="108"/>
      <c r="I107" s="108"/>
      <c r="J107" s="108"/>
    </row>
    <row r="108" spans="1:10" s="5" customFormat="1" ht="20.25" customHeight="1">
      <c r="A108" s="175" t="s">
        <v>404</v>
      </c>
      <c r="B108" s="148"/>
      <c r="C108" s="312" t="s">
        <v>405</v>
      </c>
      <c r="D108" s="313"/>
      <c r="E108" s="313"/>
      <c r="F108" s="180"/>
      <c r="G108" s="314" t="s">
        <v>403</v>
      </c>
      <c r="H108" s="314"/>
      <c r="I108" s="314"/>
      <c r="J108" s="139"/>
    </row>
    <row r="109" spans="1:10" s="1" customFormat="1" ht="20.100000000000001" customHeight="1">
      <c r="A109" s="95" t="s">
        <v>380</v>
      </c>
      <c r="B109" s="108"/>
      <c r="C109" s="305" t="s">
        <v>84</v>
      </c>
      <c r="D109" s="305"/>
      <c r="E109" s="305"/>
      <c r="F109" s="135"/>
      <c r="G109" s="306" t="s">
        <v>115</v>
      </c>
      <c r="H109" s="306"/>
      <c r="I109" s="306"/>
      <c r="J109" s="140"/>
    </row>
    <row r="110" spans="1:10" ht="20.100000000000001" customHeight="1">
      <c r="A110" s="223"/>
      <c r="B110" s="224"/>
      <c r="C110" s="225"/>
      <c r="D110" s="131"/>
      <c r="E110" s="254"/>
      <c r="F110" s="131"/>
      <c r="G110" s="131"/>
      <c r="H110" s="131"/>
      <c r="I110" s="131"/>
      <c r="J110" s="108"/>
    </row>
    <row r="111" spans="1:10">
      <c r="A111" s="223"/>
      <c r="B111" s="224"/>
      <c r="C111" s="225"/>
      <c r="D111" s="131"/>
      <c r="E111" s="254"/>
      <c r="F111" s="131"/>
      <c r="G111" s="131"/>
      <c r="H111" s="131"/>
      <c r="I111" s="131"/>
      <c r="J111" s="108"/>
    </row>
    <row r="112" spans="1:10">
      <c r="A112" s="223"/>
      <c r="B112" s="224"/>
      <c r="C112" s="225"/>
      <c r="D112" s="131"/>
      <c r="E112" s="254"/>
      <c r="F112" s="131">
        <v>27</v>
      </c>
      <c r="G112" s="131">
        <v>52</v>
      </c>
      <c r="H112" s="131">
        <v>97</v>
      </c>
      <c r="I112" s="263">
        <v>128</v>
      </c>
      <c r="J112" s="248"/>
    </row>
    <row r="113" spans="1:10">
      <c r="A113" s="223"/>
      <c r="B113" s="224"/>
      <c r="C113" s="225"/>
      <c r="D113" s="131"/>
      <c r="E113" s="254"/>
      <c r="F113" s="131">
        <v>7</v>
      </c>
      <c r="G113" s="131">
        <v>15</v>
      </c>
      <c r="H113" s="131">
        <v>22</v>
      </c>
      <c r="I113" s="263">
        <v>31</v>
      </c>
      <c r="J113" s="108"/>
    </row>
    <row r="114" spans="1:10">
      <c r="A114" s="223"/>
      <c r="B114" s="224"/>
      <c r="C114" s="225"/>
      <c r="D114" s="131"/>
      <c r="E114" s="254"/>
      <c r="F114" s="131">
        <f>F112+F113</f>
        <v>34</v>
      </c>
      <c r="G114" s="131">
        <f t="shared" ref="G114:I114" si="34">G112+G113</f>
        <v>67</v>
      </c>
      <c r="H114" s="131">
        <f t="shared" si="34"/>
        <v>119</v>
      </c>
      <c r="I114" s="263">
        <f t="shared" si="34"/>
        <v>159</v>
      </c>
      <c r="J114" s="108"/>
    </row>
    <row r="115" spans="1:10">
      <c r="A115" s="223"/>
      <c r="B115" s="224"/>
      <c r="C115" s="225"/>
      <c r="D115" s="131"/>
      <c r="E115" s="254"/>
      <c r="F115" s="247">
        <f t="shared" ref="F115:H115" si="35">F25</f>
        <v>34</v>
      </c>
      <c r="G115" s="247">
        <f t="shared" si="35"/>
        <v>67</v>
      </c>
      <c r="H115" s="247">
        <f t="shared" si="35"/>
        <v>119</v>
      </c>
      <c r="I115" s="264">
        <f>I25</f>
        <v>159</v>
      </c>
      <c r="J115" s="108"/>
    </row>
    <row r="116" spans="1:10">
      <c r="A116" s="223"/>
      <c r="B116" s="224"/>
      <c r="C116" s="225"/>
      <c r="D116" s="131"/>
      <c r="E116" s="252"/>
      <c r="F116" s="108"/>
      <c r="G116" s="108"/>
      <c r="H116" s="108"/>
      <c r="I116" s="108"/>
      <c r="J116" s="108"/>
    </row>
    <row r="117" spans="1:10">
      <c r="A117" s="223"/>
      <c r="B117" s="224"/>
      <c r="C117" s="225"/>
      <c r="D117" s="131"/>
      <c r="E117" s="252"/>
      <c r="F117" s="108"/>
      <c r="G117" s="108"/>
      <c r="H117" s="108"/>
      <c r="I117" s="108"/>
      <c r="J117" s="108"/>
    </row>
    <row r="118" spans="1:10">
      <c r="A118" s="223"/>
      <c r="B118" s="224"/>
      <c r="C118" s="225"/>
      <c r="D118" s="131"/>
      <c r="E118" s="252"/>
      <c r="F118" s="108"/>
      <c r="G118" s="108"/>
      <c r="H118" s="108"/>
      <c r="I118" s="108"/>
      <c r="J118" s="108"/>
    </row>
    <row r="119" spans="1:10">
      <c r="A119" s="223"/>
      <c r="B119" s="224"/>
      <c r="C119" s="225"/>
      <c r="D119" s="131"/>
      <c r="E119" s="255" t="s">
        <v>442</v>
      </c>
      <c r="F119" s="220">
        <v>17</v>
      </c>
      <c r="G119" s="220">
        <v>35</v>
      </c>
      <c r="H119" s="220">
        <v>52</v>
      </c>
      <c r="I119" s="220">
        <v>69</v>
      </c>
      <c r="J119" s="108"/>
    </row>
    <row r="120" spans="1:10">
      <c r="A120" s="223"/>
      <c r="B120" s="224"/>
      <c r="C120" s="225"/>
      <c r="D120" s="131"/>
      <c r="E120" s="255" t="s">
        <v>443</v>
      </c>
      <c r="F120" s="222">
        <f>(F99-F119)*22%+F119*8.41%</f>
        <v>240.34969999999998</v>
      </c>
      <c r="G120" s="222">
        <f>(G99-G119)*22%+G119*8.41%</f>
        <v>431.2835</v>
      </c>
      <c r="H120" s="222">
        <f>(H99-H119)*22%+H119*8.41%</f>
        <v>624.9932</v>
      </c>
      <c r="I120" s="222">
        <f>(I99-I119)*22%+I119*8.41%</f>
        <v>833.66290000000004</v>
      </c>
      <c r="J120" s="108"/>
    </row>
    <row r="121" spans="1:10">
      <c r="A121" s="223"/>
      <c r="B121" s="224"/>
      <c r="C121" s="225"/>
      <c r="D121" s="131"/>
      <c r="E121" s="256" t="s">
        <v>444</v>
      </c>
      <c r="F121" s="221">
        <f>F99*18%</f>
        <v>198.54</v>
      </c>
      <c r="G121" s="221">
        <f>G99*18%</f>
        <v>356.76</v>
      </c>
      <c r="H121" s="221">
        <f>H99*18%</f>
        <v>517.14</v>
      </c>
      <c r="I121" s="221">
        <f>I99*18%</f>
        <v>689.76</v>
      </c>
      <c r="J121" s="108"/>
    </row>
    <row r="122" spans="1:10">
      <c r="A122" s="223"/>
      <c r="B122" s="224"/>
      <c r="C122" s="225"/>
      <c r="D122" s="131"/>
      <c r="E122" s="256" t="s">
        <v>445</v>
      </c>
      <c r="F122" s="221">
        <f>F99*1.5%</f>
        <v>16.544999999999998</v>
      </c>
      <c r="G122" s="221">
        <f>G99*1.5%</f>
        <v>29.73</v>
      </c>
      <c r="H122" s="221">
        <f>H99*1.5%</f>
        <v>43.094999999999999</v>
      </c>
      <c r="I122" s="221">
        <f>I99*1.5%</f>
        <v>57.48</v>
      </c>
      <c r="J122" s="108"/>
    </row>
    <row r="123" spans="1:10">
      <c r="A123" s="223"/>
      <c r="B123" s="224"/>
      <c r="C123" s="225"/>
      <c r="D123" s="131"/>
      <c r="E123" s="254"/>
      <c r="F123" s="131"/>
      <c r="G123" s="131"/>
      <c r="H123" s="131"/>
      <c r="I123" s="131"/>
      <c r="J123" s="108"/>
    </row>
    <row r="124" spans="1:10">
      <c r="A124" s="223"/>
      <c r="B124" s="224"/>
      <c r="C124" s="225"/>
      <c r="D124" s="131"/>
      <c r="E124" s="254"/>
      <c r="F124" s="131"/>
      <c r="G124" s="131"/>
      <c r="H124" s="131"/>
      <c r="I124" s="131"/>
      <c r="J124" s="108"/>
    </row>
    <row r="125" spans="1:10">
      <c r="A125" s="223"/>
      <c r="B125" s="224"/>
      <c r="C125" s="225"/>
      <c r="D125" s="131"/>
      <c r="E125" s="254"/>
      <c r="F125" s="131"/>
      <c r="G125" s="131"/>
      <c r="H125" s="131"/>
      <c r="I125" s="131"/>
      <c r="J125" s="108"/>
    </row>
    <row r="126" spans="1:10">
      <c r="A126" s="223"/>
      <c r="B126" s="224"/>
      <c r="C126" s="225"/>
      <c r="D126" s="131"/>
      <c r="E126" s="254"/>
      <c r="F126" s="131"/>
      <c r="G126" s="131"/>
      <c r="H126" s="131"/>
      <c r="I126" s="131"/>
      <c r="J126" s="108"/>
    </row>
    <row r="127" spans="1:10">
      <c r="A127" s="27"/>
      <c r="C127" s="32"/>
      <c r="D127" s="28"/>
      <c r="E127" s="257"/>
      <c r="F127" s="28"/>
      <c r="G127" s="28"/>
      <c r="H127" s="28"/>
      <c r="I127" s="28"/>
    </row>
    <row r="128" spans="1:10">
      <c r="A128" s="27"/>
      <c r="C128" s="32"/>
      <c r="D128" s="28"/>
      <c r="E128" s="257"/>
      <c r="F128" s="28"/>
      <c r="G128" s="28"/>
      <c r="H128" s="28"/>
      <c r="I128" s="28"/>
    </row>
    <row r="129" spans="1:9">
      <c r="A129" s="27"/>
      <c r="C129" s="32"/>
      <c r="D129" s="28"/>
      <c r="E129" s="257"/>
      <c r="F129" s="28"/>
      <c r="G129" s="28"/>
      <c r="H129" s="28"/>
      <c r="I129" s="28"/>
    </row>
    <row r="130" spans="1:9">
      <c r="A130" s="27"/>
      <c r="C130" s="32"/>
      <c r="D130" s="28"/>
      <c r="E130" s="257"/>
      <c r="F130" s="28"/>
      <c r="G130" s="28"/>
      <c r="H130" s="28"/>
      <c r="I130" s="28"/>
    </row>
    <row r="131" spans="1:9">
      <c r="A131" s="27"/>
      <c r="C131" s="32"/>
      <c r="D131" s="28"/>
      <c r="E131" s="257"/>
      <c r="F131" s="28"/>
      <c r="G131" s="28"/>
      <c r="H131" s="28"/>
      <c r="I131" s="28"/>
    </row>
    <row r="132" spans="1:9">
      <c r="A132" s="27"/>
      <c r="C132" s="32"/>
      <c r="D132" s="28"/>
      <c r="E132" s="257"/>
      <c r="F132" s="28"/>
      <c r="G132" s="28"/>
      <c r="H132" s="28"/>
      <c r="I132" s="28"/>
    </row>
    <row r="133" spans="1:9">
      <c r="A133" s="27"/>
      <c r="C133" s="32"/>
      <c r="D133" s="28"/>
      <c r="E133" s="257"/>
      <c r="F133" s="28"/>
      <c r="G133" s="28"/>
      <c r="H133" s="28"/>
      <c r="I133" s="28"/>
    </row>
    <row r="134" spans="1:9">
      <c r="A134" s="27"/>
      <c r="C134" s="32"/>
      <c r="D134" s="28"/>
      <c r="E134" s="257"/>
      <c r="F134" s="28"/>
      <c r="G134" s="28"/>
      <c r="H134" s="28"/>
      <c r="I134" s="28"/>
    </row>
    <row r="135" spans="1:9">
      <c r="A135" s="27"/>
      <c r="C135" s="32"/>
      <c r="D135" s="28"/>
      <c r="E135" s="257"/>
      <c r="F135" s="28"/>
      <c r="G135" s="28"/>
      <c r="H135" s="28"/>
      <c r="I135" s="28"/>
    </row>
    <row r="136" spans="1:9">
      <c r="A136" s="27"/>
      <c r="C136" s="32"/>
      <c r="D136" s="28"/>
      <c r="E136" s="257"/>
      <c r="F136" s="28"/>
      <c r="G136" s="28"/>
      <c r="H136" s="28"/>
      <c r="I136" s="28"/>
    </row>
    <row r="137" spans="1:9">
      <c r="A137" s="27"/>
      <c r="C137" s="32"/>
      <c r="D137" s="28"/>
      <c r="E137" s="257"/>
      <c r="F137" s="28"/>
      <c r="G137" s="28"/>
      <c r="H137" s="28"/>
      <c r="I137" s="28"/>
    </row>
    <row r="138" spans="1:9">
      <c r="A138" s="27"/>
      <c r="C138" s="32"/>
      <c r="D138" s="28"/>
      <c r="E138" s="257"/>
      <c r="F138" s="28"/>
      <c r="G138" s="28"/>
      <c r="H138" s="28"/>
      <c r="I138" s="28"/>
    </row>
    <row r="139" spans="1:9">
      <c r="A139" s="27"/>
      <c r="C139" s="32"/>
      <c r="D139" s="28"/>
      <c r="E139" s="257"/>
      <c r="F139" s="28"/>
      <c r="G139" s="28"/>
      <c r="H139" s="28"/>
      <c r="I139" s="28"/>
    </row>
    <row r="140" spans="1:9">
      <c r="A140" s="27"/>
      <c r="C140" s="32"/>
      <c r="D140" s="28"/>
      <c r="E140" s="257"/>
      <c r="F140" s="28"/>
      <c r="G140" s="28"/>
      <c r="H140" s="28"/>
      <c r="I140" s="28"/>
    </row>
    <row r="141" spans="1:9">
      <c r="A141" s="27"/>
      <c r="C141" s="32"/>
      <c r="D141" s="28"/>
      <c r="E141" s="257"/>
      <c r="F141" s="28"/>
      <c r="G141" s="28"/>
      <c r="H141" s="28"/>
      <c r="I141" s="28"/>
    </row>
    <row r="142" spans="1:9">
      <c r="A142" s="27"/>
      <c r="C142" s="32"/>
      <c r="D142" s="28"/>
      <c r="E142" s="257"/>
      <c r="F142" s="28"/>
      <c r="G142" s="28"/>
      <c r="H142" s="28"/>
      <c r="I142" s="28"/>
    </row>
    <row r="143" spans="1:9">
      <c r="A143" s="27"/>
      <c r="C143" s="32"/>
      <c r="D143" s="28"/>
      <c r="E143" s="257"/>
      <c r="F143" s="28"/>
      <c r="G143" s="28"/>
      <c r="H143" s="28"/>
      <c r="I143" s="28"/>
    </row>
    <row r="144" spans="1:9">
      <c r="A144" s="27"/>
      <c r="C144" s="32"/>
      <c r="D144" s="28"/>
      <c r="E144" s="257"/>
      <c r="F144" s="28"/>
      <c r="G144" s="28"/>
      <c r="H144" s="28"/>
      <c r="I144" s="28"/>
    </row>
    <row r="145" spans="1:9">
      <c r="A145" s="27"/>
      <c r="C145" s="32"/>
      <c r="D145" s="28"/>
      <c r="E145" s="257"/>
      <c r="F145" s="28"/>
      <c r="G145" s="28"/>
      <c r="H145" s="28"/>
      <c r="I145" s="28"/>
    </row>
    <row r="146" spans="1:9">
      <c r="A146" s="27"/>
      <c r="C146" s="32"/>
      <c r="D146" s="28"/>
      <c r="E146" s="257"/>
      <c r="F146" s="28"/>
      <c r="G146" s="28"/>
      <c r="H146" s="28"/>
      <c r="I146" s="28"/>
    </row>
    <row r="147" spans="1:9">
      <c r="A147" s="27"/>
      <c r="C147" s="32"/>
      <c r="D147" s="28"/>
      <c r="E147" s="257"/>
      <c r="F147" s="28"/>
      <c r="G147" s="28"/>
      <c r="H147" s="28"/>
      <c r="I147" s="28"/>
    </row>
    <row r="148" spans="1:9">
      <c r="A148" s="27"/>
      <c r="C148" s="32"/>
      <c r="D148" s="28"/>
      <c r="E148" s="257"/>
      <c r="F148" s="28"/>
      <c r="G148" s="28"/>
      <c r="H148" s="28"/>
      <c r="I148" s="28"/>
    </row>
    <row r="149" spans="1:9">
      <c r="A149" s="27"/>
      <c r="C149" s="32"/>
      <c r="D149" s="28"/>
      <c r="E149" s="257"/>
      <c r="F149" s="28"/>
      <c r="G149" s="28"/>
      <c r="H149" s="28"/>
      <c r="I149" s="28"/>
    </row>
    <row r="150" spans="1:9">
      <c r="A150" s="27"/>
      <c r="C150" s="32"/>
      <c r="D150" s="28"/>
      <c r="E150" s="257"/>
      <c r="F150" s="28"/>
      <c r="G150" s="28"/>
      <c r="H150" s="28"/>
      <c r="I150" s="28"/>
    </row>
    <row r="151" spans="1:9">
      <c r="A151" s="27"/>
      <c r="C151" s="32"/>
      <c r="D151" s="28"/>
      <c r="E151" s="257"/>
      <c r="F151" s="28"/>
      <c r="G151" s="28"/>
      <c r="H151" s="28"/>
      <c r="I151" s="28"/>
    </row>
    <row r="152" spans="1:9">
      <c r="A152" s="27"/>
      <c r="C152" s="32"/>
      <c r="D152" s="28"/>
      <c r="E152" s="257"/>
      <c r="F152" s="28"/>
      <c r="G152" s="28"/>
      <c r="H152" s="28"/>
      <c r="I152" s="28"/>
    </row>
    <row r="153" spans="1:9">
      <c r="A153" s="27"/>
      <c r="C153" s="32"/>
      <c r="D153" s="28"/>
      <c r="E153" s="257"/>
      <c r="F153" s="28"/>
      <c r="G153" s="28"/>
      <c r="H153" s="28"/>
      <c r="I153" s="28"/>
    </row>
    <row r="154" spans="1:9">
      <c r="A154" s="27"/>
      <c r="C154" s="32"/>
      <c r="D154" s="28"/>
      <c r="E154" s="257"/>
      <c r="F154" s="28"/>
      <c r="G154" s="28"/>
      <c r="H154" s="28"/>
      <c r="I154" s="28"/>
    </row>
    <row r="155" spans="1:9">
      <c r="A155" s="27"/>
      <c r="C155" s="32"/>
      <c r="D155" s="28"/>
      <c r="E155" s="257"/>
      <c r="F155" s="28"/>
      <c r="G155" s="28"/>
      <c r="H155" s="28"/>
      <c r="I155" s="28"/>
    </row>
    <row r="156" spans="1:9">
      <c r="A156" s="27"/>
      <c r="C156" s="32"/>
      <c r="D156" s="28"/>
      <c r="E156" s="257"/>
      <c r="F156" s="28"/>
      <c r="G156" s="28"/>
      <c r="H156" s="28"/>
      <c r="I156" s="28"/>
    </row>
    <row r="157" spans="1:9">
      <c r="A157" s="27"/>
      <c r="C157" s="32"/>
      <c r="D157" s="28"/>
      <c r="E157" s="257"/>
      <c r="F157" s="28"/>
      <c r="G157" s="28"/>
      <c r="H157" s="28"/>
      <c r="I157" s="28"/>
    </row>
    <row r="158" spans="1:9">
      <c r="A158" s="27"/>
      <c r="C158" s="32"/>
      <c r="D158" s="28"/>
      <c r="E158" s="257"/>
      <c r="F158" s="28"/>
      <c r="G158" s="28"/>
      <c r="H158" s="28"/>
      <c r="I158" s="28"/>
    </row>
    <row r="159" spans="1:9">
      <c r="A159" s="27"/>
      <c r="C159" s="32"/>
      <c r="D159" s="28"/>
      <c r="E159" s="257"/>
      <c r="F159" s="28"/>
      <c r="G159" s="28"/>
      <c r="H159" s="28"/>
      <c r="I159" s="28"/>
    </row>
    <row r="160" spans="1:9">
      <c r="A160" s="27"/>
      <c r="C160" s="32"/>
      <c r="D160" s="28"/>
      <c r="E160" s="257"/>
      <c r="F160" s="28"/>
      <c r="G160" s="28"/>
      <c r="H160" s="28"/>
      <c r="I160" s="28"/>
    </row>
    <row r="161" spans="1:9">
      <c r="A161" s="27"/>
      <c r="C161" s="32"/>
      <c r="D161" s="28"/>
      <c r="E161" s="257"/>
      <c r="F161" s="28"/>
      <c r="G161" s="28"/>
      <c r="H161" s="28"/>
      <c r="I161" s="28"/>
    </row>
    <row r="162" spans="1:9">
      <c r="A162" s="27"/>
      <c r="C162" s="32"/>
      <c r="D162" s="28"/>
      <c r="E162" s="257"/>
      <c r="F162" s="28"/>
      <c r="G162" s="28"/>
      <c r="H162" s="28"/>
      <c r="I162" s="28"/>
    </row>
    <row r="163" spans="1:9">
      <c r="A163" s="27"/>
      <c r="C163" s="32"/>
      <c r="D163" s="28"/>
      <c r="E163" s="257"/>
      <c r="F163" s="28"/>
      <c r="G163" s="28"/>
      <c r="H163" s="28"/>
      <c r="I163" s="28"/>
    </row>
    <row r="164" spans="1:9">
      <c r="A164" s="27"/>
      <c r="C164" s="32"/>
      <c r="D164" s="28"/>
      <c r="E164" s="257"/>
      <c r="F164" s="28"/>
      <c r="G164" s="28"/>
      <c r="H164" s="28"/>
      <c r="I164" s="28"/>
    </row>
    <row r="165" spans="1:9">
      <c r="A165" s="27"/>
      <c r="C165" s="32"/>
      <c r="D165" s="28"/>
      <c r="E165" s="257"/>
      <c r="F165" s="28"/>
      <c r="G165" s="28"/>
      <c r="H165" s="28"/>
      <c r="I165" s="28"/>
    </row>
    <row r="166" spans="1:9">
      <c r="A166" s="27"/>
      <c r="C166" s="32"/>
      <c r="D166" s="28"/>
      <c r="E166" s="257"/>
      <c r="F166" s="28"/>
      <c r="G166" s="28"/>
      <c r="H166" s="28"/>
      <c r="I166" s="28"/>
    </row>
    <row r="167" spans="1:9">
      <c r="A167" s="27"/>
      <c r="C167" s="32"/>
      <c r="D167" s="28"/>
      <c r="E167" s="257"/>
      <c r="F167" s="28"/>
      <c r="G167" s="28"/>
      <c r="H167" s="28"/>
      <c r="I167" s="28"/>
    </row>
    <row r="168" spans="1:9">
      <c r="A168" s="50"/>
    </row>
    <row r="169" spans="1:9">
      <c r="A169" s="50"/>
    </row>
    <row r="170" spans="1:9">
      <c r="A170" s="50"/>
    </row>
    <row r="171" spans="1:9">
      <c r="A171" s="50"/>
    </row>
    <row r="172" spans="1:9">
      <c r="A172" s="50"/>
    </row>
    <row r="173" spans="1:9">
      <c r="A173" s="50"/>
    </row>
    <row r="174" spans="1:9">
      <c r="A174" s="50"/>
    </row>
    <row r="175" spans="1:9">
      <c r="A175" s="50"/>
    </row>
    <row r="176" spans="1:9">
      <c r="A176" s="50"/>
    </row>
    <row r="177" spans="1:5">
      <c r="A177" s="50"/>
    </row>
    <row r="178" spans="1:5">
      <c r="A178" s="50"/>
      <c r="B178" s="2"/>
      <c r="C178" s="2"/>
      <c r="D178" s="2"/>
      <c r="E178" s="259"/>
    </row>
    <row r="179" spans="1:5">
      <c r="A179" s="50"/>
      <c r="B179" s="2"/>
      <c r="C179" s="2"/>
      <c r="D179" s="2"/>
      <c r="E179" s="259"/>
    </row>
    <row r="180" spans="1:5">
      <c r="A180" s="50"/>
      <c r="B180" s="2"/>
      <c r="C180" s="2"/>
      <c r="D180" s="2"/>
      <c r="E180" s="259"/>
    </row>
    <row r="181" spans="1:5">
      <c r="A181" s="50"/>
      <c r="B181" s="2"/>
      <c r="C181" s="2"/>
      <c r="D181" s="2"/>
      <c r="E181" s="259"/>
    </row>
    <row r="182" spans="1:5">
      <c r="A182" s="50"/>
      <c r="B182" s="2"/>
      <c r="C182" s="2"/>
      <c r="D182" s="2"/>
      <c r="E182" s="259"/>
    </row>
    <row r="183" spans="1:5">
      <c r="A183" s="50"/>
      <c r="B183" s="2"/>
      <c r="C183" s="2"/>
      <c r="D183" s="2"/>
      <c r="E183" s="259"/>
    </row>
    <row r="184" spans="1:5">
      <c r="A184" s="50"/>
      <c r="B184" s="2"/>
      <c r="C184" s="2"/>
      <c r="D184" s="2"/>
      <c r="E184" s="259"/>
    </row>
    <row r="185" spans="1:5">
      <c r="A185" s="50"/>
      <c r="B185" s="2"/>
      <c r="C185" s="2"/>
      <c r="D185" s="2"/>
      <c r="E185" s="259"/>
    </row>
    <row r="186" spans="1:5">
      <c r="A186" s="50"/>
      <c r="B186" s="2"/>
      <c r="C186" s="2"/>
      <c r="D186" s="2"/>
      <c r="E186" s="259"/>
    </row>
    <row r="187" spans="1:5">
      <c r="A187" s="50"/>
      <c r="B187" s="2"/>
      <c r="C187" s="2"/>
      <c r="D187" s="2"/>
      <c r="E187" s="259"/>
    </row>
    <row r="188" spans="1:5">
      <c r="A188" s="50"/>
      <c r="B188" s="2"/>
      <c r="C188" s="2"/>
      <c r="D188" s="2"/>
      <c r="E188" s="259"/>
    </row>
    <row r="189" spans="1:5">
      <c r="A189" s="50"/>
      <c r="B189" s="2"/>
      <c r="C189" s="2"/>
      <c r="D189" s="2"/>
      <c r="E189" s="259"/>
    </row>
    <row r="190" spans="1:5">
      <c r="A190" s="50"/>
      <c r="B190" s="2"/>
      <c r="C190" s="2"/>
      <c r="D190" s="2"/>
      <c r="E190" s="259"/>
    </row>
    <row r="191" spans="1:5">
      <c r="A191" s="50"/>
      <c r="B191" s="2"/>
      <c r="C191" s="2"/>
      <c r="D191" s="2"/>
      <c r="E191" s="259"/>
    </row>
    <row r="192" spans="1:5">
      <c r="A192" s="50"/>
      <c r="B192" s="2"/>
      <c r="C192" s="2"/>
      <c r="D192" s="2"/>
      <c r="E192" s="259"/>
    </row>
    <row r="193" spans="1:5">
      <c r="A193" s="50"/>
      <c r="B193" s="2"/>
      <c r="C193" s="2"/>
      <c r="D193" s="2"/>
      <c r="E193" s="259"/>
    </row>
    <row r="194" spans="1:5">
      <c r="A194" s="50"/>
      <c r="B194" s="2"/>
      <c r="C194" s="2"/>
      <c r="D194" s="2"/>
      <c r="E194" s="259"/>
    </row>
    <row r="195" spans="1:5">
      <c r="A195" s="50"/>
      <c r="B195" s="2"/>
      <c r="C195" s="2"/>
      <c r="D195" s="2"/>
      <c r="E195" s="259"/>
    </row>
    <row r="196" spans="1:5">
      <c r="A196" s="50"/>
      <c r="B196" s="2"/>
      <c r="C196" s="2"/>
      <c r="D196" s="2"/>
      <c r="E196" s="259"/>
    </row>
    <row r="197" spans="1:5">
      <c r="A197" s="50"/>
      <c r="B197" s="2"/>
      <c r="C197" s="2"/>
      <c r="D197" s="2"/>
      <c r="E197" s="259"/>
    </row>
    <row r="198" spans="1:5">
      <c r="A198" s="50"/>
      <c r="B198" s="2"/>
      <c r="C198" s="2"/>
      <c r="D198" s="2"/>
      <c r="E198" s="259"/>
    </row>
    <row r="199" spans="1:5">
      <c r="A199" s="50"/>
      <c r="B199" s="2"/>
      <c r="C199" s="2"/>
      <c r="D199" s="2"/>
      <c r="E199" s="259"/>
    </row>
    <row r="200" spans="1:5">
      <c r="A200" s="50"/>
      <c r="B200" s="2"/>
      <c r="C200" s="2"/>
      <c r="D200" s="2"/>
      <c r="E200" s="259"/>
    </row>
    <row r="201" spans="1:5">
      <c r="A201" s="50"/>
      <c r="B201" s="2"/>
      <c r="C201" s="2"/>
      <c r="D201" s="2"/>
      <c r="E201" s="259"/>
    </row>
    <row r="202" spans="1:5">
      <c r="A202" s="50"/>
      <c r="B202" s="2"/>
      <c r="C202" s="2"/>
      <c r="D202" s="2"/>
      <c r="E202" s="259"/>
    </row>
    <row r="203" spans="1:5">
      <c r="A203" s="50"/>
      <c r="B203" s="2"/>
      <c r="C203" s="2"/>
      <c r="D203" s="2"/>
      <c r="E203" s="259"/>
    </row>
    <row r="204" spans="1:5">
      <c r="A204" s="50"/>
      <c r="B204" s="2"/>
      <c r="C204" s="2"/>
      <c r="D204" s="2"/>
      <c r="E204" s="259"/>
    </row>
    <row r="205" spans="1:5">
      <c r="A205" s="50"/>
      <c r="B205" s="2"/>
      <c r="C205" s="2"/>
      <c r="D205" s="2"/>
      <c r="E205" s="259"/>
    </row>
    <row r="206" spans="1:5">
      <c r="A206" s="50"/>
      <c r="B206" s="2"/>
      <c r="C206" s="2"/>
      <c r="D206" s="2"/>
      <c r="E206" s="259"/>
    </row>
    <row r="207" spans="1:5">
      <c r="A207" s="50"/>
      <c r="B207" s="2"/>
      <c r="C207" s="2"/>
      <c r="D207" s="2"/>
      <c r="E207" s="259"/>
    </row>
    <row r="208" spans="1:5">
      <c r="A208" s="50"/>
      <c r="B208" s="2"/>
      <c r="C208" s="2"/>
      <c r="D208" s="2"/>
      <c r="E208" s="259"/>
    </row>
    <row r="209" spans="1:5">
      <c r="A209" s="50"/>
      <c r="B209" s="2"/>
      <c r="C209" s="2"/>
      <c r="D209" s="2"/>
      <c r="E209" s="259"/>
    </row>
    <row r="210" spans="1:5">
      <c r="A210" s="50"/>
      <c r="B210" s="2"/>
      <c r="C210" s="2"/>
      <c r="D210" s="2"/>
      <c r="E210" s="259"/>
    </row>
    <row r="211" spans="1:5">
      <c r="A211" s="50"/>
      <c r="B211" s="2"/>
      <c r="C211" s="2"/>
      <c r="D211" s="2"/>
      <c r="E211" s="259"/>
    </row>
    <row r="212" spans="1:5">
      <c r="A212" s="50"/>
      <c r="B212" s="2"/>
      <c r="C212" s="2"/>
      <c r="D212" s="2"/>
      <c r="E212" s="259"/>
    </row>
    <row r="213" spans="1:5">
      <c r="A213" s="50"/>
      <c r="B213" s="2"/>
      <c r="C213" s="2"/>
      <c r="D213" s="2"/>
      <c r="E213" s="259"/>
    </row>
    <row r="214" spans="1:5">
      <c r="A214" s="50"/>
      <c r="B214" s="2"/>
      <c r="C214" s="2"/>
      <c r="D214" s="2"/>
      <c r="E214" s="259"/>
    </row>
    <row r="215" spans="1:5">
      <c r="A215" s="50"/>
      <c r="B215" s="2"/>
      <c r="C215" s="2"/>
      <c r="D215" s="2"/>
      <c r="E215" s="259"/>
    </row>
    <row r="216" spans="1:5">
      <c r="A216" s="50"/>
      <c r="B216" s="2"/>
      <c r="C216" s="2"/>
      <c r="D216" s="2"/>
      <c r="E216" s="259"/>
    </row>
    <row r="217" spans="1:5">
      <c r="A217" s="50"/>
      <c r="B217" s="2"/>
      <c r="C217" s="2"/>
      <c r="D217" s="2"/>
      <c r="E217" s="259"/>
    </row>
    <row r="218" spans="1:5">
      <c r="A218" s="50"/>
      <c r="B218" s="2"/>
      <c r="C218" s="2"/>
      <c r="D218" s="2"/>
      <c r="E218" s="259"/>
    </row>
    <row r="219" spans="1:5">
      <c r="A219" s="50"/>
      <c r="B219" s="2"/>
      <c r="C219" s="2"/>
      <c r="D219" s="2"/>
      <c r="E219" s="259"/>
    </row>
    <row r="220" spans="1:5">
      <c r="A220" s="50"/>
      <c r="B220" s="2"/>
      <c r="C220" s="2"/>
      <c r="D220" s="2"/>
      <c r="E220" s="259"/>
    </row>
    <row r="221" spans="1:5">
      <c r="A221" s="50"/>
      <c r="B221" s="2"/>
      <c r="C221" s="2"/>
      <c r="D221" s="2"/>
      <c r="E221" s="259"/>
    </row>
    <row r="222" spans="1:5">
      <c r="A222" s="50"/>
      <c r="B222" s="2"/>
      <c r="C222" s="2"/>
      <c r="D222" s="2"/>
      <c r="E222" s="259"/>
    </row>
    <row r="223" spans="1:5">
      <c r="A223" s="50"/>
      <c r="B223" s="2"/>
      <c r="C223" s="2"/>
      <c r="D223" s="2"/>
      <c r="E223" s="259"/>
    </row>
    <row r="224" spans="1:5">
      <c r="A224" s="50"/>
      <c r="B224" s="2"/>
      <c r="C224" s="2"/>
      <c r="D224" s="2"/>
      <c r="E224" s="259"/>
    </row>
    <row r="225" spans="1:5">
      <c r="A225" s="50"/>
      <c r="B225" s="2"/>
      <c r="C225" s="2"/>
      <c r="D225" s="2"/>
      <c r="E225" s="259"/>
    </row>
    <row r="226" spans="1:5">
      <c r="A226" s="50"/>
      <c r="B226" s="2"/>
      <c r="C226" s="2"/>
      <c r="D226" s="2"/>
      <c r="E226" s="259"/>
    </row>
    <row r="227" spans="1:5">
      <c r="A227" s="50"/>
      <c r="B227" s="2"/>
      <c r="C227" s="2"/>
      <c r="D227" s="2"/>
      <c r="E227" s="259"/>
    </row>
    <row r="228" spans="1:5">
      <c r="A228" s="50"/>
      <c r="B228" s="2"/>
      <c r="C228" s="2"/>
      <c r="D228" s="2"/>
      <c r="E228" s="259"/>
    </row>
    <row r="229" spans="1:5">
      <c r="A229" s="50"/>
      <c r="B229" s="2"/>
      <c r="C229" s="2"/>
      <c r="D229" s="2"/>
      <c r="E229" s="259"/>
    </row>
    <row r="230" spans="1:5">
      <c r="A230" s="50"/>
      <c r="B230" s="2"/>
      <c r="C230" s="2"/>
      <c r="D230" s="2"/>
      <c r="E230" s="259"/>
    </row>
    <row r="231" spans="1:5">
      <c r="A231" s="50"/>
      <c r="B231" s="2"/>
      <c r="C231" s="2"/>
      <c r="D231" s="2"/>
      <c r="E231" s="259"/>
    </row>
    <row r="232" spans="1:5">
      <c r="A232" s="50"/>
      <c r="B232" s="2"/>
      <c r="C232" s="2"/>
      <c r="D232" s="2"/>
      <c r="E232" s="259"/>
    </row>
    <row r="233" spans="1:5">
      <c r="A233" s="50"/>
      <c r="B233" s="2"/>
      <c r="C233" s="2"/>
      <c r="D233" s="2"/>
      <c r="E233" s="259"/>
    </row>
    <row r="234" spans="1:5">
      <c r="A234" s="50"/>
      <c r="B234" s="2"/>
      <c r="C234" s="2"/>
      <c r="D234" s="2"/>
      <c r="E234" s="259"/>
    </row>
    <row r="235" spans="1:5">
      <c r="A235" s="50"/>
      <c r="B235" s="2"/>
      <c r="C235" s="2"/>
      <c r="D235" s="2"/>
      <c r="E235" s="259"/>
    </row>
    <row r="236" spans="1:5">
      <c r="A236" s="50"/>
      <c r="B236" s="2"/>
      <c r="C236" s="2"/>
      <c r="D236" s="2"/>
      <c r="E236" s="259"/>
    </row>
    <row r="237" spans="1:5">
      <c r="A237" s="50"/>
      <c r="B237" s="2"/>
      <c r="C237" s="2"/>
      <c r="D237" s="2"/>
      <c r="E237" s="259"/>
    </row>
    <row r="238" spans="1:5">
      <c r="A238" s="50"/>
      <c r="B238" s="2"/>
      <c r="C238" s="2"/>
      <c r="D238" s="2"/>
      <c r="E238" s="259"/>
    </row>
    <row r="239" spans="1:5">
      <c r="A239" s="50"/>
      <c r="B239" s="2"/>
      <c r="C239" s="2"/>
      <c r="D239" s="2"/>
      <c r="E239" s="259"/>
    </row>
    <row r="240" spans="1:5">
      <c r="A240" s="50"/>
      <c r="B240" s="2"/>
      <c r="C240" s="2"/>
      <c r="D240" s="2"/>
      <c r="E240" s="259"/>
    </row>
    <row r="241" spans="1:5">
      <c r="A241" s="50"/>
      <c r="B241" s="2"/>
      <c r="C241" s="2"/>
      <c r="D241" s="2"/>
      <c r="E241" s="259"/>
    </row>
    <row r="242" spans="1:5">
      <c r="A242" s="50"/>
      <c r="B242" s="2"/>
      <c r="C242" s="2"/>
      <c r="D242" s="2"/>
      <c r="E242" s="259"/>
    </row>
    <row r="243" spans="1:5">
      <c r="A243" s="50"/>
      <c r="B243" s="2"/>
      <c r="C243" s="2"/>
      <c r="D243" s="2"/>
      <c r="E243" s="259"/>
    </row>
    <row r="244" spans="1:5">
      <c r="A244" s="50"/>
      <c r="B244" s="2"/>
      <c r="C244" s="2"/>
      <c r="D244" s="2"/>
      <c r="E244" s="259"/>
    </row>
    <row r="245" spans="1:5">
      <c r="A245" s="50"/>
      <c r="B245" s="2"/>
      <c r="C245" s="2"/>
      <c r="D245" s="2"/>
      <c r="E245" s="259"/>
    </row>
    <row r="246" spans="1:5">
      <c r="A246" s="50"/>
      <c r="B246" s="2"/>
      <c r="C246" s="2"/>
      <c r="D246" s="2"/>
      <c r="E246" s="259"/>
    </row>
    <row r="247" spans="1:5">
      <c r="A247" s="50"/>
      <c r="B247" s="2"/>
      <c r="C247" s="2"/>
      <c r="D247" s="2"/>
      <c r="E247" s="259"/>
    </row>
    <row r="248" spans="1:5">
      <c r="A248" s="50"/>
      <c r="B248" s="2"/>
      <c r="C248" s="2"/>
      <c r="D248" s="2"/>
      <c r="E248" s="259"/>
    </row>
    <row r="249" spans="1:5">
      <c r="A249" s="50"/>
      <c r="B249" s="2"/>
      <c r="C249" s="2"/>
      <c r="D249" s="2"/>
      <c r="E249" s="259"/>
    </row>
    <row r="250" spans="1:5">
      <c r="A250" s="50"/>
      <c r="B250" s="2"/>
      <c r="C250" s="2"/>
      <c r="D250" s="2"/>
      <c r="E250" s="259"/>
    </row>
    <row r="251" spans="1:5">
      <c r="A251" s="50"/>
      <c r="B251" s="2"/>
      <c r="C251" s="2"/>
      <c r="D251" s="2"/>
      <c r="E251" s="259"/>
    </row>
    <row r="252" spans="1:5">
      <c r="A252" s="50"/>
      <c r="B252" s="2"/>
      <c r="C252" s="2"/>
      <c r="D252" s="2"/>
      <c r="E252" s="259"/>
    </row>
    <row r="253" spans="1:5">
      <c r="A253" s="50"/>
      <c r="B253" s="2"/>
      <c r="C253" s="2"/>
      <c r="D253" s="2"/>
      <c r="E253" s="259"/>
    </row>
    <row r="254" spans="1:5">
      <c r="A254" s="50"/>
      <c r="B254" s="2"/>
      <c r="C254" s="2"/>
      <c r="D254" s="2"/>
      <c r="E254" s="259"/>
    </row>
    <row r="255" spans="1:5">
      <c r="A255" s="50"/>
      <c r="B255" s="2"/>
      <c r="C255" s="2"/>
      <c r="D255" s="2"/>
      <c r="E255" s="259"/>
    </row>
    <row r="256" spans="1:5">
      <c r="A256" s="50"/>
      <c r="B256" s="2"/>
      <c r="C256" s="2"/>
      <c r="D256" s="2"/>
      <c r="E256" s="259"/>
    </row>
    <row r="257" spans="1:5">
      <c r="A257" s="50"/>
      <c r="B257" s="2"/>
      <c r="C257" s="2"/>
      <c r="D257" s="2"/>
      <c r="E257" s="259"/>
    </row>
    <row r="258" spans="1:5">
      <c r="A258" s="50"/>
      <c r="B258" s="2"/>
      <c r="C258" s="2"/>
      <c r="D258" s="2"/>
      <c r="E258" s="259"/>
    </row>
    <row r="259" spans="1:5">
      <c r="A259" s="50"/>
      <c r="B259" s="2"/>
      <c r="C259" s="2"/>
      <c r="D259" s="2"/>
      <c r="E259" s="259"/>
    </row>
    <row r="260" spans="1:5">
      <c r="A260" s="50"/>
      <c r="B260" s="2"/>
      <c r="C260" s="2"/>
      <c r="D260" s="2"/>
      <c r="E260" s="259"/>
    </row>
    <row r="261" spans="1:5">
      <c r="A261" s="50"/>
      <c r="B261" s="2"/>
      <c r="C261" s="2"/>
      <c r="D261" s="2"/>
      <c r="E261" s="259"/>
    </row>
    <row r="262" spans="1:5">
      <c r="A262" s="50"/>
      <c r="B262" s="2"/>
      <c r="C262" s="2"/>
      <c r="D262" s="2"/>
      <c r="E262" s="259"/>
    </row>
    <row r="263" spans="1:5">
      <c r="A263" s="50"/>
      <c r="B263" s="2"/>
      <c r="C263" s="2"/>
      <c r="D263" s="2"/>
      <c r="E263" s="259"/>
    </row>
    <row r="264" spans="1:5">
      <c r="A264" s="50"/>
      <c r="B264" s="2"/>
      <c r="C264" s="2"/>
      <c r="D264" s="2"/>
      <c r="E264" s="259"/>
    </row>
    <row r="265" spans="1:5">
      <c r="A265" s="50"/>
      <c r="B265" s="2"/>
      <c r="C265" s="2"/>
      <c r="D265" s="2"/>
      <c r="E265" s="259"/>
    </row>
    <row r="266" spans="1:5">
      <c r="A266" s="50"/>
      <c r="B266" s="2"/>
      <c r="C266" s="2"/>
      <c r="D266" s="2"/>
      <c r="E266" s="259"/>
    </row>
    <row r="267" spans="1:5">
      <c r="A267" s="50"/>
      <c r="B267" s="2"/>
      <c r="C267" s="2"/>
      <c r="D267" s="2"/>
      <c r="E267" s="259"/>
    </row>
    <row r="268" spans="1:5">
      <c r="A268" s="50"/>
      <c r="B268" s="2"/>
      <c r="C268" s="2"/>
      <c r="D268" s="2"/>
      <c r="E268" s="259"/>
    </row>
    <row r="269" spans="1:5">
      <c r="A269" s="50"/>
      <c r="B269" s="2"/>
      <c r="C269" s="2"/>
      <c r="D269" s="2"/>
      <c r="E269" s="259"/>
    </row>
    <row r="270" spans="1:5">
      <c r="A270" s="50"/>
      <c r="B270" s="2"/>
      <c r="C270" s="2"/>
      <c r="D270" s="2"/>
      <c r="E270" s="259"/>
    </row>
    <row r="271" spans="1:5">
      <c r="A271" s="50"/>
      <c r="B271" s="2"/>
      <c r="C271" s="2"/>
      <c r="D271" s="2"/>
      <c r="E271" s="259"/>
    </row>
    <row r="272" spans="1:5">
      <c r="A272" s="50"/>
      <c r="B272" s="2"/>
      <c r="C272" s="2"/>
      <c r="D272" s="2"/>
      <c r="E272" s="259"/>
    </row>
    <row r="273" spans="1:5">
      <c r="A273" s="50"/>
      <c r="B273" s="2"/>
      <c r="C273" s="2"/>
      <c r="D273" s="2"/>
      <c r="E273" s="259"/>
    </row>
    <row r="274" spans="1:5">
      <c r="A274" s="50"/>
      <c r="B274" s="2"/>
      <c r="C274" s="2"/>
      <c r="D274" s="2"/>
      <c r="E274" s="259"/>
    </row>
    <row r="275" spans="1:5">
      <c r="A275" s="50"/>
      <c r="B275" s="2"/>
      <c r="C275" s="2"/>
      <c r="D275" s="2"/>
      <c r="E275" s="259"/>
    </row>
    <row r="276" spans="1:5">
      <c r="A276" s="50"/>
      <c r="B276" s="2"/>
      <c r="C276" s="2"/>
      <c r="D276" s="2"/>
      <c r="E276" s="259"/>
    </row>
    <row r="277" spans="1:5">
      <c r="A277" s="50"/>
      <c r="B277" s="2"/>
      <c r="C277" s="2"/>
      <c r="D277" s="2"/>
      <c r="E277" s="259"/>
    </row>
    <row r="278" spans="1:5">
      <c r="A278" s="50"/>
      <c r="B278" s="2"/>
      <c r="C278" s="2"/>
      <c r="D278" s="2"/>
      <c r="E278" s="259"/>
    </row>
    <row r="279" spans="1:5">
      <c r="A279" s="50"/>
      <c r="B279" s="2"/>
      <c r="C279" s="2"/>
      <c r="D279" s="2"/>
      <c r="E279" s="259"/>
    </row>
    <row r="280" spans="1:5">
      <c r="A280" s="50"/>
      <c r="B280" s="2"/>
      <c r="C280" s="2"/>
      <c r="D280" s="2"/>
      <c r="E280" s="259"/>
    </row>
    <row r="281" spans="1:5">
      <c r="A281" s="50"/>
      <c r="B281" s="2"/>
      <c r="C281" s="2"/>
      <c r="D281" s="2"/>
      <c r="E281" s="259"/>
    </row>
    <row r="282" spans="1:5">
      <c r="A282" s="50"/>
      <c r="B282" s="2"/>
      <c r="C282" s="2"/>
      <c r="D282" s="2"/>
      <c r="E282" s="259"/>
    </row>
    <row r="283" spans="1:5">
      <c r="A283" s="50"/>
      <c r="B283" s="2"/>
      <c r="C283" s="2"/>
      <c r="D283" s="2"/>
      <c r="E283" s="259"/>
    </row>
    <row r="284" spans="1:5">
      <c r="A284" s="50"/>
      <c r="B284" s="2"/>
      <c r="C284" s="2"/>
      <c r="D284" s="2"/>
      <c r="E284" s="259"/>
    </row>
    <row r="285" spans="1:5">
      <c r="A285" s="50"/>
      <c r="B285" s="2"/>
      <c r="C285" s="2"/>
      <c r="D285" s="2"/>
      <c r="E285" s="259"/>
    </row>
    <row r="286" spans="1:5">
      <c r="A286" s="50"/>
      <c r="B286" s="2"/>
      <c r="C286" s="2"/>
      <c r="D286" s="2"/>
      <c r="E286" s="259"/>
    </row>
    <row r="287" spans="1:5">
      <c r="A287" s="50"/>
      <c r="B287" s="2"/>
      <c r="C287" s="2"/>
      <c r="D287" s="2"/>
      <c r="E287" s="259"/>
    </row>
    <row r="288" spans="1:5">
      <c r="A288" s="50"/>
      <c r="B288" s="2"/>
      <c r="C288" s="2"/>
      <c r="D288" s="2"/>
      <c r="E288" s="259"/>
    </row>
    <row r="289" spans="1:5">
      <c r="A289" s="50"/>
      <c r="B289" s="2"/>
      <c r="C289" s="2"/>
      <c r="D289" s="2"/>
      <c r="E289" s="259"/>
    </row>
    <row r="290" spans="1:5">
      <c r="A290" s="50"/>
      <c r="B290" s="2"/>
      <c r="C290" s="2"/>
      <c r="D290" s="2"/>
      <c r="E290" s="259"/>
    </row>
    <row r="291" spans="1:5">
      <c r="A291" s="50"/>
      <c r="B291" s="2"/>
      <c r="C291" s="2"/>
      <c r="D291" s="2"/>
      <c r="E291" s="259"/>
    </row>
    <row r="292" spans="1:5">
      <c r="A292" s="50"/>
      <c r="B292" s="2"/>
      <c r="C292" s="2"/>
      <c r="D292" s="2"/>
      <c r="E292" s="259"/>
    </row>
    <row r="293" spans="1:5">
      <c r="A293" s="50"/>
      <c r="B293" s="2"/>
      <c r="C293" s="2"/>
      <c r="D293" s="2"/>
      <c r="E293" s="259"/>
    </row>
    <row r="294" spans="1:5">
      <c r="A294" s="50"/>
      <c r="B294" s="2"/>
      <c r="C294" s="2"/>
      <c r="D294" s="2"/>
      <c r="E294" s="259"/>
    </row>
    <row r="295" spans="1:5">
      <c r="A295" s="50"/>
      <c r="B295" s="2"/>
      <c r="C295" s="2"/>
      <c r="D295" s="2"/>
      <c r="E295" s="259"/>
    </row>
    <row r="296" spans="1:5">
      <c r="A296" s="50"/>
      <c r="B296" s="2"/>
      <c r="C296" s="2"/>
      <c r="D296" s="2"/>
      <c r="E296" s="259"/>
    </row>
    <row r="297" spans="1:5">
      <c r="A297" s="50"/>
      <c r="B297" s="2"/>
      <c r="C297" s="2"/>
      <c r="D297" s="2"/>
      <c r="E297" s="259"/>
    </row>
    <row r="298" spans="1:5">
      <c r="A298" s="50"/>
      <c r="B298" s="2"/>
      <c r="C298" s="2"/>
      <c r="D298" s="2"/>
      <c r="E298" s="259"/>
    </row>
    <row r="299" spans="1:5">
      <c r="A299" s="50"/>
      <c r="B299" s="2"/>
      <c r="C299" s="2"/>
      <c r="D299" s="2"/>
      <c r="E299" s="259"/>
    </row>
    <row r="300" spans="1:5">
      <c r="A300" s="50"/>
      <c r="B300" s="2"/>
      <c r="C300" s="2"/>
      <c r="D300" s="2"/>
      <c r="E300" s="259"/>
    </row>
    <row r="301" spans="1:5">
      <c r="A301" s="50"/>
      <c r="B301" s="2"/>
      <c r="C301" s="2"/>
      <c r="D301" s="2"/>
      <c r="E301" s="259"/>
    </row>
    <row r="302" spans="1:5">
      <c r="A302" s="50"/>
      <c r="B302" s="2"/>
      <c r="C302" s="2"/>
      <c r="D302" s="2"/>
      <c r="E302" s="259"/>
    </row>
    <row r="303" spans="1:5">
      <c r="A303" s="50"/>
      <c r="B303" s="2"/>
      <c r="C303" s="2"/>
      <c r="D303" s="2"/>
      <c r="E303" s="259"/>
    </row>
    <row r="304" spans="1:5">
      <c r="A304" s="50"/>
      <c r="B304" s="2"/>
      <c r="C304" s="2"/>
      <c r="D304" s="2"/>
      <c r="E304" s="259"/>
    </row>
    <row r="305" spans="1:5">
      <c r="A305" s="50"/>
      <c r="B305" s="2"/>
      <c r="C305" s="2"/>
      <c r="D305" s="2"/>
      <c r="E305" s="259"/>
    </row>
    <row r="306" spans="1:5">
      <c r="A306" s="50"/>
      <c r="B306" s="2"/>
      <c r="C306" s="2"/>
      <c r="D306" s="2"/>
      <c r="E306" s="259"/>
    </row>
    <row r="307" spans="1:5">
      <c r="A307" s="50"/>
      <c r="B307" s="2"/>
      <c r="C307" s="2"/>
      <c r="D307" s="2"/>
      <c r="E307" s="259"/>
    </row>
    <row r="308" spans="1:5">
      <c r="A308" s="50"/>
      <c r="B308" s="2"/>
      <c r="C308" s="2"/>
      <c r="D308" s="2"/>
      <c r="E308" s="259"/>
    </row>
    <row r="309" spans="1:5">
      <c r="A309" s="50"/>
      <c r="B309" s="2"/>
      <c r="C309" s="2"/>
      <c r="D309" s="2"/>
      <c r="E309" s="259"/>
    </row>
    <row r="310" spans="1:5">
      <c r="A310" s="50"/>
      <c r="B310" s="2"/>
      <c r="C310" s="2"/>
      <c r="D310" s="2"/>
      <c r="E310" s="259"/>
    </row>
    <row r="311" spans="1:5">
      <c r="A311" s="50"/>
      <c r="B311" s="2"/>
      <c r="C311" s="2"/>
      <c r="D311" s="2"/>
      <c r="E311" s="259"/>
    </row>
    <row r="312" spans="1:5">
      <c r="A312" s="50"/>
      <c r="B312" s="2"/>
      <c r="C312" s="2"/>
      <c r="D312" s="2"/>
      <c r="E312" s="259"/>
    </row>
    <row r="313" spans="1:5">
      <c r="A313" s="50"/>
      <c r="B313" s="2"/>
      <c r="C313" s="2"/>
      <c r="D313" s="2"/>
      <c r="E313" s="259"/>
    </row>
    <row r="314" spans="1:5">
      <c r="A314" s="50"/>
      <c r="B314" s="2"/>
      <c r="C314" s="2"/>
      <c r="D314" s="2"/>
      <c r="E314" s="259"/>
    </row>
    <row r="315" spans="1:5">
      <c r="A315" s="50"/>
      <c r="B315" s="2"/>
      <c r="C315" s="2"/>
      <c r="D315" s="2"/>
      <c r="E315" s="259"/>
    </row>
    <row r="316" spans="1:5">
      <c r="A316" s="50"/>
      <c r="B316" s="2"/>
      <c r="C316" s="2"/>
      <c r="D316" s="2"/>
      <c r="E316" s="259"/>
    </row>
    <row r="317" spans="1:5">
      <c r="A317" s="50"/>
      <c r="B317" s="2"/>
      <c r="C317" s="2"/>
      <c r="D317" s="2"/>
      <c r="E317" s="259"/>
    </row>
    <row r="318" spans="1:5">
      <c r="A318" s="50"/>
      <c r="B318" s="2"/>
      <c r="C318" s="2"/>
      <c r="D318" s="2"/>
      <c r="E318" s="259"/>
    </row>
    <row r="319" spans="1:5">
      <c r="A319" s="50"/>
      <c r="B319" s="2"/>
      <c r="C319" s="2"/>
      <c r="D319" s="2"/>
      <c r="E319" s="259"/>
    </row>
    <row r="320" spans="1:5">
      <c r="A320" s="50"/>
      <c r="B320" s="2"/>
      <c r="C320" s="2"/>
      <c r="D320" s="2"/>
      <c r="E320" s="259"/>
    </row>
    <row r="321" spans="1:5">
      <c r="A321" s="50"/>
      <c r="B321" s="2"/>
      <c r="C321" s="2"/>
      <c r="D321" s="2"/>
      <c r="E321" s="259"/>
    </row>
    <row r="322" spans="1:5">
      <c r="A322" s="50"/>
      <c r="B322" s="2"/>
      <c r="C322" s="2"/>
      <c r="D322" s="2"/>
      <c r="E322" s="259"/>
    </row>
    <row r="323" spans="1:5">
      <c r="A323" s="50"/>
      <c r="B323" s="2"/>
      <c r="C323" s="2"/>
      <c r="D323" s="2"/>
      <c r="E323" s="259"/>
    </row>
    <row r="324" spans="1:5">
      <c r="A324" s="50"/>
      <c r="B324" s="2"/>
      <c r="C324" s="2"/>
      <c r="D324" s="2"/>
      <c r="E324" s="259"/>
    </row>
    <row r="325" spans="1:5">
      <c r="A325" s="50"/>
      <c r="B325" s="2"/>
      <c r="C325" s="2"/>
      <c r="D325" s="2"/>
      <c r="E325" s="259"/>
    </row>
    <row r="326" spans="1:5">
      <c r="A326" s="50"/>
      <c r="B326" s="2"/>
      <c r="C326" s="2"/>
      <c r="D326" s="2"/>
      <c r="E326" s="259"/>
    </row>
    <row r="327" spans="1:5">
      <c r="A327" s="50"/>
      <c r="B327" s="2"/>
      <c r="C327" s="2"/>
      <c r="D327" s="2"/>
      <c r="E327" s="259"/>
    </row>
    <row r="328" spans="1:5">
      <c r="A328" s="50"/>
      <c r="B328" s="2"/>
      <c r="C328" s="2"/>
      <c r="D328" s="2"/>
      <c r="E328" s="259"/>
    </row>
    <row r="329" spans="1:5">
      <c r="A329" s="50"/>
      <c r="B329" s="2"/>
      <c r="C329" s="2"/>
      <c r="D329" s="2"/>
      <c r="E329" s="259"/>
    </row>
    <row r="330" spans="1:5">
      <c r="A330" s="50"/>
      <c r="B330" s="2"/>
      <c r="C330" s="2"/>
      <c r="D330" s="2"/>
      <c r="E330" s="259"/>
    </row>
    <row r="331" spans="1:5">
      <c r="A331" s="50"/>
      <c r="B331" s="2"/>
      <c r="C331" s="2"/>
      <c r="D331" s="2"/>
      <c r="E331" s="259"/>
    </row>
    <row r="332" spans="1:5">
      <c r="A332" s="50"/>
      <c r="B332" s="2"/>
      <c r="C332" s="2"/>
      <c r="D332" s="2"/>
      <c r="E332" s="259"/>
    </row>
    <row r="333" spans="1:5">
      <c r="A333" s="50"/>
      <c r="B333" s="2"/>
      <c r="C333" s="2"/>
      <c r="D333" s="2"/>
      <c r="E333" s="259"/>
    </row>
    <row r="334" spans="1:5">
      <c r="A334" s="50"/>
      <c r="B334" s="2"/>
      <c r="C334" s="2"/>
      <c r="D334" s="2"/>
      <c r="E334" s="259"/>
    </row>
  </sheetData>
  <sheetProtection password="C6FB" sheet="1" objects="1" scenarios="1" formatCells="0" formatColumns="0" formatRows="0" insertColumns="0" insertRows="0" insertHyperlinks="0" deleteColumns="0" deleteRows="0" sort="0" autoFilter="0" pivotTables="0"/>
  <customSheetViews>
    <customSheetView guid="{43DCEB14-ADF8-4168-9283-6542A71D3CF7}" scale="90" showPageBreaks="1" printArea="1" view="pageBreakPreview" topLeftCell="A88">
      <selection activeCell="F105" sqref="F105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6">
    <mergeCell ref="A1:J1"/>
    <mergeCell ref="C109:E109"/>
    <mergeCell ref="G109:I109"/>
    <mergeCell ref="J3:J4"/>
    <mergeCell ref="A6:J6"/>
    <mergeCell ref="A82:J82"/>
    <mergeCell ref="A88:J88"/>
    <mergeCell ref="B3:B4"/>
    <mergeCell ref="A3:A4"/>
    <mergeCell ref="C3:C4"/>
    <mergeCell ref="F3:I3"/>
    <mergeCell ref="A95:J95"/>
    <mergeCell ref="C108:E108"/>
    <mergeCell ref="G108:I108"/>
    <mergeCell ref="E3:E4"/>
    <mergeCell ref="D3:D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J192"/>
  <sheetViews>
    <sheetView view="pageBreakPreview" zoomScale="75" zoomScaleNormal="65" zoomScaleSheetLayoutView="50" workbookViewId="0">
      <pane ySplit="5" topLeftCell="A24" activePane="bottomLeft" state="frozen"/>
      <selection pane="bottomLeft" activeCell="I17" sqref="I17"/>
    </sheetView>
  </sheetViews>
  <sheetFormatPr defaultColWidth="77.85546875" defaultRowHeight="18.75" outlineLevelRow="1"/>
  <cols>
    <col min="1" max="1" width="61.28515625" style="45" customWidth="1"/>
    <col min="2" max="2" width="15.28515625" style="48" customWidth="1"/>
    <col min="3" max="3" width="13" style="48" customWidth="1"/>
    <col min="4" max="4" width="14.85546875" style="48" customWidth="1"/>
    <col min="5" max="5" width="13.42578125" style="48" customWidth="1"/>
    <col min="6" max="6" width="13.7109375" style="45" customWidth="1"/>
    <col min="7" max="7" width="13.28515625" style="45" customWidth="1"/>
    <col min="8" max="8" width="13" style="45" customWidth="1"/>
    <col min="9" max="9" width="11.7109375" style="45" customWidth="1"/>
    <col min="10" max="10" width="9.5703125" style="45" customWidth="1"/>
    <col min="11" max="253" width="9.140625" style="45" customWidth="1"/>
    <col min="254" max="16384" width="77.85546875" style="45"/>
  </cols>
  <sheetData>
    <row r="1" spans="1:9">
      <c r="A1" s="317" t="s">
        <v>368</v>
      </c>
      <c r="B1" s="317"/>
      <c r="C1" s="317"/>
      <c r="D1" s="317"/>
      <c r="E1" s="317"/>
      <c r="F1" s="317"/>
      <c r="G1" s="317"/>
      <c r="H1" s="317"/>
      <c r="I1" s="317"/>
    </row>
    <row r="2" spans="1:9" outlineLevel="1">
      <c r="A2" s="44"/>
      <c r="B2" s="53"/>
      <c r="C2" s="44"/>
      <c r="D2" s="44"/>
      <c r="E2" s="44"/>
      <c r="F2" s="44"/>
      <c r="G2" s="44"/>
      <c r="H2" s="44"/>
      <c r="I2" s="44"/>
    </row>
    <row r="3" spans="1:9" ht="38.25" customHeight="1">
      <c r="A3" s="311" t="s">
        <v>272</v>
      </c>
      <c r="B3" s="318" t="s">
        <v>18</v>
      </c>
      <c r="C3" s="318" t="s">
        <v>31</v>
      </c>
      <c r="D3" s="318" t="s">
        <v>39</v>
      </c>
      <c r="E3" s="319" t="s">
        <v>181</v>
      </c>
      <c r="F3" s="307" t="s">
        <v>364</v>
      </c>
      <c r="G3" s="307"/>
      <c r="H3" s="307"/>
      <c r="I3" s="307"/>
    </row>
    <row r="4" spans="1:9" ht="50.25" customHeight="1">
      <c r="A4" s="311"/>
      <c r="B4" s="318"/>
      <c r="C4" s="318"/>
      <c r="D4" s="318"/>
      <c r="E4" s="319"/>
      <c r="F4" s="13" t="s">
        <v>365</v>
      </c>
      <c r="G4" s="13" t="s">
        <v>366</v>
      </c>
      <c r="H4" s="13" t="s">
        <v>367</v>
      </c>
      <c r="I4" s="13" t="s">
        <v>86</v>
      </c>
    </row>
    <row r="5" spans="1:9" ht="18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7">
        <v>6</v>
      </c>
      <c r="G5" s="7">
        <v>7</v>
      </c>
      <c r="H5" s="7">
        <v>8</v>
      </c>
      <c r="I5" s="7">
        <v>9</v>
      </c>
    </row>
    <row r="6" spans="1:9" ht="24.95" customHeight="1">
      <c r="A6" s="320" t="s">
        <v>165</v>
      </c>
      <c r="B6" s="321"/>
      <c r="C6" s="321"/>
      <c r="D6" s="321"/>
      <c r="E6" s="321"/>
      <c r="F6" s="321"/>
      <c r="G6" s="321"/>
      <c r="H6" s="321"/>
      <c r="I6" s="322"/>
    </row>
    <row r="7" spans="1:9" ht="42.75" customHeight="1">
      <c r="A7" s="58" t="s">
        <v>62</v>
      </c>
      <c r="B7" s="7">
        <v>2000</v>
      </c>
      <c r="C7" s="169">
        <v>241</v>
      </c>
      <c r="D7" s="169"/>
      <c r="E7" s="170">
        <v>314</v>
      </c>
      <c r="F7" s="237">
        <f>$E$17</f>
        <v>466.72</v>
      </c>
      <c r="G7" s="237">
        <f t="shared" ref="G7:I7" si="0">$E$17</f>
        <v>466.72</v>
      </c>
      <c r="H7" s="237">
        <f t="shared" si="0"/>
        <v>466.72</v>
      </c>
      <c r="I7" s="237">
        <f t="shared" si="0"/>
        <v>466.72</v>
      </c>
    </row>
    <row r="8" spans="1:9" ht="37.5">
      <c r="A8" s="46" t="s">
        <v>222</v>
      </c>
      <c r="B8" s="7">
        <v>2010</v>
      </c>
      <c r="C8" s="170">
        <f>C9+C10</f>
        <v>0</v>
      </c>
      <c r="D8" s="170">
        <f t="shared" ref="D8:I8" si="1">D9+D10</f>
        <v>0</v>
      </c>
      <c r="E8" s="170">
        <f t="shared" si="1"/>
        <v>295</v>
      </c>
      <c r="F8" s="170">
        <f t="shared" si="1"/>
        <v>0</v>
      </c>
      <c r="G8" s="170">
        <f t="shared" si="1"/>
        <v>0</v>
      </c>
      <c r="H8" s="170">
        <f t="shared" si="1"/>
        <v>0</v>
      </c>
      <c r="I8" s="170">
        <f t="shared" si="1"/>
        <v>41</v>
      </c>
    </row>
    <row r="9" spans="1:9" ht="42.75" customHeight="1">
      <c r="A9" s="8" t="s">
        <v>370</v>
      </c>
      <c r="B9" s="7">
        <v>2011</v>
      </c>
      <c r="C9" s="169"/>
      <c r="D9" s="228">
        <v>0</v>
      </c>
      <c r="E9" s="169">
        <f>ROUND('I. Фін результат'!E78*15%,0)</f>
        <v>67</v>
      </c>
      <c r="F9" s="169"/>
      <c r="G9" s="169"/>
      <c r="H9" s="169"/>
      <c r="I9" s="169">
        <f>ROUND('I. Фін результат'!I78*15%,0)</f>
        <v>9</v>
      </c>
    </row>
    <row r="10" spans="1:9" ht="93.75">
      <c r="A10" s="8" t="s">
        <v>371</v>
      </c>
      <c r="B10" s="7">
        <v>2012</v>
      </c>
      <c r="C10" s="169"/>
      <c r="D10" s="228">
        <v>0</v>
      </c>
      <c r="E10" s="169">
        <f>ROUND(('I. Фін результат'!E78-'ІІ. Розр. з бюджетом'!E9)*60%,0)</f>
        <v>228</v>
      </c>
      <c r="F10" s="169"/>
      <c r="G10" s="169"/>
      <c r="H10" s="169"/>
      <c r="I10" s="169">
        <f>ROUND(('I. Фін результат'!I78-'ІІ. Розр. з бюджетом'!I9)*60%,0)</f>
        <v>32</v>
      </c>
    </row>
    <row r="11" spans="1:9" ht="20.100000000000001" customHeight="1">
      <c r="A11" s="8" t="s">
        <v>208</v>
      </c>
      <c r="B11" s="7">
        <v>2020</v>
      </c>
      <c r="C11" s="169"/>
      <c r="D11" s="169"/>
      <c r="E11" s="169"/>
      <c r="F11" s="169"/>
      <c r="G11" s="169"/>
      <c r="H11" s="169"/>
      <c r="I11" s="169"/>
    </row>
    <row r="12" spans="1:9" s="47" customFormat="1" ht="20.100000000000001" customHeight="1">
      <c r="A12" s="46" t="s">
        <v>75</v>
      </c>
      <c r="B12" s="7">
        <v>2030</v>
      </c>
      <c r="C12" s="169"/>
      <c r="D12" s="169"/>
      <c r="E12" s="169"/>
      <c r="F12" s="169"/>
      <c r="G12" s="169"/>
      <c r="H12" s="169"/>
      <c r="I12" s="169"/>
    </row>
    <row r="13" spans="1:9" ht="37.5">
      <c r="A13" s="46" t="s">
        <v>388</v>
      </c>
      <c r="B13" s="7">
        <v>2031</v>
      </c>
      <c r="C13" s="169"/>
      <c r="D13" s="169"/>
      <c r="E13" s="169"/>
      <c r="F13" s="169"/>
      <c r="G13" s="169"/>
      <c r="H13" s="169"/>
      <c r="I13" s="169"/>
    </row>
    <row r="14" spans="1:9" ht="20.100000000000001" customHeight="1">
      <c r="A14" s="46" t="s">
        <v>26</v>
      </c>
      <c r="B14" s="7">
        <v>2040</v>
      </c>
      <c r="C14" s="169"/>
      <c r="D14" s="169"/>
      <c r="E14" s="169"/>
      <c r="F14" s="169"/>
      <c r="G14" s="169"/>
      <c r="H14" s="169"/>
      <c r="I14" s="169"/>
    </row>
    <row r="15" spans="1:9" ht="20.100000000000001" customHeight="1">
      <c r="A15" s="164" t="s">
        <v>127</v>
      </c>
      <c r="B15" s="7">
        <v>2050</v>
      </c>
      <c r="C15" s="169"/>
      <c r="D15" s="169"/>
      <c r="E15" s="169"/>
      <c r="F15" s="169"/>
      <c r="G15" s="169"/>
      <c r="H15" s="169"/>
      <c r="I15" s="169"/>
    </row>
    <row r="16" spans="1:9" ht="20.100000000000001" customHeight="1">
      <c r="A16" s="164" t="s">
        <v>128</v>
      </c>
      <c r="B16" s="7">
        <v>2060</v>
      </c>
      <c r="C16" s="169"/>
      <c r="D16" s="169"/>
      <c r="E16" s="169"/>
      <c r="F16" s="169"/>
      <c r="G16" s="169"/>
      <c r="H16" s="169"/>
      <c r="I16" s="169"/>
    </row>
    <row r="17" spans="1:9" ht="42.75" customHeight="1">
      <c r="A17" s="58" t="s">
        <v>63</v>
      </c>
      <c r="B17" s="92">
        <v>2070</v>
      </c>
      <c r="C17" s="173">
        <v>314</v>
      </c>
      <c r="D17" s="173"/>
      <c r="E17" s="171">
        <f>'I. Фін результат'!E78+'ІІ.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466.72</v>
      </c>
      <c r="F17" s="171">
        <f>'I. Фін результат'!F78+'ІІ.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577.72</v>
      </c>
      <c r="G17" s="171">
        <f>'I. Фін результат'!G78+'ІІ.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1241.72</v>
      </c>
      <c r="H17" s="171">
        <f>'I. Фін результат'!H78+'ІІ.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487.72</v>
      </c>
      <c r="I17" s="171">
        <f>'I. Фін результат'!I78+'ІІ.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488.72</v>
      </c>
    </row>
    <row r="18" spans="1:9" ht="39.75" customHeight="1">
      <c r="A18" s="320" t="s">
        <v>166</v>
      </c>
      <c r="B18" s="321"/>
      <c r="C18" s="321"/>
      <c r="D18" s="321"/>
      <c r="E18" s="321"/>
      <c r="F18" s="321"/>
      <c r="G18" s="321"/>
      <c r="H18" s="321"/>
      <c r="I18" s="322"/>
    </row>
    <row r="19" spans="1:9" ht="37.5">
      <c r="A19" s="164" t="s">
        <v>222</v>
      </c>
      <c r="B19" s="163">
        <v>2100</v>
      </c>
      <c r="C19" s="170">
        <f t="shared" ref="C19:I19" si="2">SUM(C20:C21)</f>
        <v>0</v>
      </c>
      <c r="D19" s="170">
        <f t="shared" si="2"/>
        <v>0</v>
      </c>
      <c r="E19" s="170">
        <f>SUM(E20:E21)</f>
        <v>295</v>
      </c>
      <c r="F19" s="170">
        <f t="shared" si="2"/>
        <v>0</v>
      </c>
      <c r="G19" s="170">
        <f t="shared" si="2"/>
        <v>0</v>
      </c>
      <c r="H19" s="170">
        <f t="shared" si="2"/>
        <v>0</v>
      </c>
      <c r="I19" s="170">
        <f t="shared" si="2"/>
        <v>41</v>
      </c>
    </row>
    <row r="20" spans="1:9" ht="42.75" customHeight="1">
      <c r="A20" s="234" t="s">
        <v>370</v>
      </c>
      <c r="B20" s="163">
        <v>2101</v>
      </c>
      <c r="C20" s="170">
        <f t="shared" ref="C20:I20" si="3">C9</f>
        <v>0</v>
      </c>
      <c r="D20" s="170">
        <f t="shared" si="3"/>
        <v>0</v>
      </c>
      <c r="E20" s="170">
        <f>E9</f>
        <v>67</v>
      </c>
      <c r="F20" s="170">
        <f t="shared" si="3"/>
        <v>0</v>
      </c>
      <c r="G20" s="170">
        <f t="shared" si="3"/>
        <v>0</v>
      </c>
      <c r="H20" s="170">
        <f t="shared" si="3"/>
        <v>0</v>
      </c>
      <c r="I20" s="170">
        <f t="shared" si="3"/>
        <v>9</v>
      </c>
    </row>
    <row r="21" spans="1:9" ht="93.75">
      <c r="A21" s="234" t="s">
        <v>371</v>
      </c>
      <c r="B21" s="163">
        <v>2102</v>
      </c>
      <c r="C21" s="170">
        <f>C10</f>
        <v>0</v>
      </c>
      <c r="D21" s="170">
        <f t="shared" ref="D21:I21" si="4">D10</f>
        <v>0</v>
      </c>
      <c r="E21" s="170">
        <f>E10</f>
        <v>228</v>
      </c>
      <c r="F21" s="170">
        <f t="shared" si="4"/>
        <v>0</v>
      </c>
      <c r="G21" s="170">
        <f t="shared" si="4"/>
        <v>0</v>
      </c>
      <c r="H21" s="170">
        <f t="shared" si="4"/>
        <v>0</v>
      </c>
      <c r="I21" s="170">
        <f t="shared" si="4"/>
        <v>32</v>
      </c>
    </row>
    <row r="22" spans="1:9" s="47" customFormat="1" ht="20.100000000000001" customHeight="1">
      <c r="A22" s="164" t="s">
        <v>168</v>
      </c>
      <c r="B22" s="165">
        <v>2110</v>
      </c>
      <c r="C22" s="170">
        <f>'I. Фін результат'!C76</f>
        <v>12.959999999999999</v>
      </c>
      <c r="D22" s="170">
        <f>'I. Фін результат'!D76</f>
        <v>0</v>
      </c>
      <c r="E22" s="170">
        <f>'I. Фін результат'!E76</f>
        <v>98.28</v>
      </c>
      <c r="F22" s="170">
        <f>'I. Фін результат'!F76</f>
        <v>0</v>
      </c>
      <c r="G22" s="170">
        <f>'I. Фін результат'!G76</f>
        <v>0</v>
      </c>
      <c r="H22" s="170">
        <f>'I. Фін результат'!H76</f>
        <v>0</v>
      </c>
      <c r="I22" s="170">
        <f>'I. Фін результат'!I76</f>
        <v>14</v>
      </c>
    </row>
    <row r="23" spans="1:9" ht="56.25">
      <c r="A23" s="164" t="s">
        <v>335</v>
      </c>
      <c r="B23" s="165">
        <v>2120</v>
      </c>
      <c r="C23" s="169">
        <v>45</v>
      </c>
      <c r="D23" s="169"/>
      <c r="E23" s="169">
        <v>59</v>
      </c>
      <c r="F23" s="228">
        <v>25.400000000000002</v>
      </c>
      <c r="G23" s="228">
        <v>41.2</v>
      </c>
      <c r="H23" s="228">
        <v>50.999999999999986</v>
      </c>
      <c r="I23" s="228">
        <v>59.2</v>
      </c>
    </row>
    <row r="24" spans="1:9" ht="56.25">
      <c r="A24" s="164" t="s">
        <v>336</v>
      </c>
      <c r="B24" s="165">
        <v>2130</v>
      </c>
      <c r="C24" s="169"/>
      <c r="D24" s="169"/>
      <c r="E24" s="169"/>
      <c r="F24" s="169"/>
      <c r="G24" s="169"/>
      <c r="H24" s="169"/>
      <c r="I24" s="169"/>
    </row>
    <row r="25" spans="1:9" s="49" customFormat="1" ht="56.25">
      <c r="A25" s="166" t="s">
        <v>259</v>
      </c>
      <c r="B25" s="167">
        <v>2140</v>
      </c>
      <c r="C25" s="171">
        <f t="shared" ref="C25:I25" si="5">SUM(C26:C30,C33,C35)</f>
        <v>179</v>
      </c>
      <c r="D25" s="171">
        <f t="shared" si="5"/>
        <v>0</v>
      </c>
      <c r="E25" s="171">
        <f>SUM(E26:E30,E33,E35)</f>
        <v>362.435</v>
      </c>
      <c r="F25" s="171">
        <f t="shared" si="5"/>
        <v>256</v>
      </c>
      <c r="G25" s="171">
        <f t="shared" si="5"/>
        <v>510</v>
      </c>
      <c r="H25" s="171">
        <f t="shared" si="5"/>
        <v>633</v>
      </c>
      <c r="I25" s="171">
        <f t="shared" si="5"/>
        <v>753</v>
      </c>
    </row>
    <row r="26" spans="1:9" ht="20.100000000000001" customHeight="1">
      <c r="A26" s="164" t="s">
        <v>91</v>
      </c>
      <c r="B26" s="165">
        <v>2141</v>
      </c>
      <c r="C26" s="169"/>
      <c r="D26" s="169"/>
      <c r="E26" s="169"/>
      <c r="F26" s="169"/>
      <c r="G26" s="169"/>
      <c r="H26" s="169"/>
      <c r="I26" s="169"/>
    </row>
    <row r="27" spans="1:9" ht="20.100000000000001" customHeight="1">
      <c r="A27" s="164" t="s">
        <v>118</v>
      </c>
      <c r="B27" s="165">
        <v>2142</v>
      </c>
      <c r="C27" s="169"/>
      <c r="D27" s="169"/>
      <c r="E27" s="169"/>
      <c r="F27" s="169"/>
      <c r="G27" s="169"/>
      <c r="H27" s="169"/>
      <c r="I27" s="169"/>
    </row>
    <row r="28" spans="1:9" ht="20.100000000000001" customHeight="1">
      <c r="A28" s="164" t="s">
        <v>109</v>
      </c>
      <c r="B28" s="165">
        <v>2143</v>
      </c>
      <c r="C28" s="169"/>
      <c r="D28" s="169"/>
      <c r="E28" s="169"/>
      <c r="F28" s="169"/>
      <c r="G28" s="169"/>
      <c r="H28" s="169"/>
      <c r="I28" s="169"/>
    </row>
    <row r="29" spans="1:9" ht="20.100000000000001" customHeight="1">
      <c r="A29" s="164" t="s">
        <v>89</v>
      </c>
      <c r="B29" s="165">
        <v>2144</v>
      </c>
      <c r="C29" s="169">
        <v>160</v>
      </c>
      <c r="D29" s="169"/>
      <c r="E29" s="230">
        <v>329</v>
      </c>
      <c r="F29" s="230">
        <v>235</v>
      </c>
      <c r="G29" s="230">
        <v>469</v>
      </c>
      <c r="H29" s="230">
        <v>582</v>
      </c>
      <c r="I29" s="230">
        <v>690</v>
      </c>
    </row>
    <row r="30" spans="1:9" s="47" customFormat="1" ht="20.100000000000001" customHeight="1">
      <c r="A30" s="164" t="s">
        <v>188</v>
      </c>
      <c r="B30" s="165">
        <v>2145</v>
      </c>
      <c r="C30" s="169"/>
      <c r="D30" s="172"/>
      <c r="E30" s="172"/>
      <c r="F30" s="169"/>
      <c r="G30" s="169"/>
      <c r="H30" s="169"/>
      <c r="I30" s="169"/>
    </row>
    <row r="31" spans="1:9" ht="56.25">
      <c r="A31" s="164" t="s">
        <v>268</v>
      </c>
      <c r="B31" s="165" t="s">
        <v>237</v>
      </c>
      <c r="C31" s="169"/>
      <c r="D31" s="172"/>
      <c r="E31" s="172"/>
      <c r="F31" s="169"/>
      <c r="G31" s="169"/>
      <c r="H31" s="169"/>
      <c r="I31" s="169"/>
    </row>
    <row r="32" spans="1:9" ht="20.100000000000001" customHeight="1">
      <c r="A32" s="164" t="s">
        <v>27</v>
      </c>
      <c r="B32" s="165" t="s">
        <v>238</v>
      </c>
      <c r="C32" s="169"/>
      <c r="D32" s="169"/>
      <c r="E32" s="169"/>
      <c r="F32" s="169"/>
      <c r="G32" s="169"/>
      <c r="H32" s="169"/>
      <c r="I32" s="169"/>
    </row>
    <row r="33" spans="1:10" s="47" customFormat="1" ht="20.100000000000001" customHeight="1">
      <c r="A33" s="164" t="s">
        <v>129</v>
      </c>
      <c r="B33" s="165">
        <v>2146</v>
      </c>
      <c r="C33" s="169">
        <v>2</v>
      </c>
      <c r="D33" s="169"/>
      <c r="E33" s="169">
        <v>6</v>
      </c>
      <c r="F33" s="169">
        <v>1</v>
      </c>
      <c r="G33" s="169">
        <v>2</v>
      </c>
      <c r="H33" s="169">
        <v>2</v>
      </c>
      <c r="I33" s="169">
        <v>6</v>
      </c>
    </row>
    <row r="34" spans="1:10" s="47" customFormat="1" ht="20.100000000000001" customHeight="1">
      <c r="A34" s="164" t="s">
        <v>413</v>
      </c>
      <c r="B34" s="165" t="s">
        <v>414</v>
      </c>
      <c r="C34" s="169">
        <v>2</v>
      </c>
      <c r="D34" s="169"/>
      <c r="E34" s="169">
        <v>6</v>
      </c>
      <c r="F34" s="169">
        <v>1</v>
      </c>
      <c r="G34" s="169">
        <v>2</v>
      </c>
      <c r="H34" s="169">
        <v>2</v>
      </c>
      <c r="I34" s="169">
        <v>6</v>
      </c>
    </row>
    <row r="35" spans="1:10" ht="20.100000000000001" customHeight="1">
      <c r="A35" s="164" t="s">
        <v>97</v>
      </c>
      <c r="B35" s="165">
        <v>2147</v>
      </c>
      <c r="C35" s="169">
        <f t="shared" ref="C35:I35" si="6">C36</f>
        <v>17</v>
      </c>
      <c r="D35" s="169"/>
      <c r="E35" s="169">
        <f t="shared" si="6"/>
        <v>27.434999999999999</v>
      </c>
      <c r="F35" s="169">
        <f t="shared" si="6"/>
        <v>20</v>
      </c>
      <c r="G35" s="169">
        <f t="shared" si="6"/>
        <v>39</v>
      </c>
      <c r="H35" s="169">
        <f>H36</f>
        <v>49</v>
      </c>
      <c r="I35" s="169">
        <f t="shared" si="6"/>
        <v>57</v>
      </c>
    </row>
    <row r="36" spans="1:10" ht="20.100000000000001" customHeight="1">
      <c r="A36" s="164" t="s">
        <v>381</v>
      </c>
      <c r="B36" s="165" t="s">
        <v>389</v>
      </c>
      <c r="C36" s="169">
        <v>17</v>
      </c>
      <c r="D36" s="169"/>
      <c r="E36" s="168">
        <v>27.434999999999999</v>
      </c>
      <c r="F36" s="168">
        <v>20</v>
      </c>
      <c r="G36" s="168">
        <v>39</v>
      </c>
      <c r="H36" s="168">
        <v>49</v>
      </c>
      <c r="I36" s="168">
        <v>57</v>
      </c>
    </row>
    <row r="37" spans="1:10" s="47" customFormat="1" ht="37.5">
      <c r="A37" s="164" t="s">
        <v>90</v>
      </c>
      <c r="B37" s="165">
        <v>2150</v>
      </c>
      <c r="C37" s="169">
        <f>'I. Фін результат'!C100</f>
        <v>387</v>
      </c>
      <c r="D37" s="169"/>
      <c r="E37" s="169">
        <f>'I. Фін результат'!E100</f>
        <v>393</v>
      </c>
      <c r="F37" s="169">
        <f>'I. Фін результат'!F100</f>
        <v>231</v>
      </c>
      <c r="G37" s="169">
        <f>'I. Фін результат'!G100</f>
        <v>329</v>
      </c>
      <c r="H37" s="169">
        <f>'I. Фін результат'!H100</f>
        <v>623</v>
      </c>
      <c r="I37" s="169">
        <f>'I. Фін результат'!I100</f>
        <v>840</v>
      </c>
    </row>
    <row r="38" spans="1:10" s="47" customFormat="1" ht="20.100000000000001" customHeight="1">
      <c r="A38" s="166" t="s">
        <v>361</v>
      </c>
      <c r="B38" s="167">
        <v>2200</v>
      </c>
      <c r="C38" s="171">
        <f t="shared" ref="C38:I38" si="7">SUM(C19,C22:C24,C25,C37)</f>
        <v>623.96</v>
      </c>
      <c r="D38" s="171">
        <f t="shared" si="7"/>
        <v>0</v>
      </c>
      <c r="E38" s="171">
        <f t="shared" si="7"/>
        <v>1207.7149999999999</v>
      </c>
      <c r="F38" s="171">
        <f t="shared" si="7"/>
        <v>512.4</v>
      </c>
      <c r="G38" s="171">
        <f t="shared" si="7"/>
        <v>880.2</v>
      </c>
      <c r="H38" s="171">
        <f t="shared" si="7"/>
        <v>1307</v>
      </c>
      <c r="I38" s="171">
        <f t="shared" si="7"/>
        <v>1707.2</v>
      </c>
    </row>
    <row r="39" spans="1:10" s="47" customFormat="1" ht="20.100000000000001" customHeight="1">
      <c r="A39" s="144"/>
      <c r="B39" s="145"/>
      <c r="C39" s="146"/>
      <c r="D39" s="147"/>
      <c r="E39" s="147"/>
      <c r="F39" s="147"/>
      <c r="G39" s="147"/>
      <c r="H39" s="147"/>
      <c r="I39" s="147"/>
    </row>
    <row r="40" spans="1:10" s="47" customFormat="1" ht="20.100000000000001" customHeight="1">
      <c r="A40" s="144"/>
      <c r="B40" s="145"/>
      <c r="C40" s="146"/>
      <c r="D40" s="147"/>
      <c r="E40" s="147"/>
      <c r="F40" s="147"/>
      <c r="G40" s="147"/>
      <c r="H40" s="147"/>
      <c r="I40" s="147"/>
    </row>
    <row r="41" spans="1:10" s="2" customFormat="1" ht="20.100000000000001" customHeight="1">
      <c r="A41" s="175" t="s">
        <v>404</v>
      </c>
      <c r="B41" s="133"/>
      <c r="C41" s="323" t="s">
        <v>119</v>
      </c>
      <c r="D41" s="324"/>
      <c r="E41" s="324"/>
      <c r="F41" s="134"/>
      <c r="G41" s="314" t="s">
        <v>403</v>
      </c>
      <c r="H41" s="314"/>
      <c r="I41" s="314"/>
    </row>
    <row r="42" spans="1:10" s="1" customFormat="1" ht="20.100000000000001" customHeight="1">
      <c r="A42" s="95" t="s">
        <v>380</v>
      </c>
      <c r="B42" s="108"/>
      <c r="C42" s="305" t="s">
        <v>84</v>
      </c>
      <c r="D42" s="305"/>
      <c r="E42" s="305"/>
      <c r="F42" s="135"/>
      <c r="G42" s="306" t="s">
        <v>446</v>
      </c>
      <c r="H42" s="306"/>
      <c r="I42" s="306"/>
    </row>
    <row r="43" spans="1:10" s="48" customFormat="1">
      <c r="A43" s="61"/>
      <c r="F43" s="45"/>
      <c r="G43" s="45"/>
      <c r="H43" s="45"/>
      <c r="I43" s="45"/>
      <c r="J43" s="45"/>
    </row>
    <row r="44" spans="1:10" s="48" customFormat="1">
      <c r="A44" s="61"/>
      <c r="F44" s="45"/>
      <c r="G44" s="45"/>
      <c r="H44" s="45"/>
      <c r="I44" s="45"/>
      <c r="J44" s="45"/>
    </row>
    <row r="45" spans="1:10" s="48" customFormat="1">
      <c r="A45" s="61"/>
      <c r="F45" s="45"/>
      <c r="G45" s="45"/>
      <c r="H45" s="45"/>
      <c r="I45" s="45"/>
      <c r="J45" s="45"/>
    </row>
    <row r="46" spans="1:10" s="48" customFormat="1">
      <c r="A46" s="61"/>
      <c r="F46" s="45"/>
      <c r="G46" s="45"/>
      <c r="H46" s="45"/>
      <c r="I46" s="45"/>
      <c r="J46" s="45"/>
    </row>
    <row r="47" spans="1:10" s="48" customFormat="1">
      <c r="A47" s="61"/>
      <c r="F47" s="45"/>
      <c r="G47" s="45"/>
      <c r="H47" s="45"/>
      <c r="I47" s="45"/>
      <c r="J47" s="45"/>
    </row>
    <row r="48" spans="1:10" s="48" customFormat="1">
      <c r="A48" s="61"/>
      <c r="F48" s="45"/>
      <c r="G48" s="45"/>
      <c r="H48" s="45"/>
      <c r="I48" s="45"/>
      <c r="J48" s="45"/>
    </row>
    <row r="49" spans="1:10" s="48" customFormat="1">
      <c r="A49" s="61"/>
      <c r="F49" s="45"/>
      <c r="G49" s="45"/>
      <c r="H49" s="45"/>
      <c r="I49" s="45"/>
      <c r="J49" s="45"/>
    </row>
    <row r="50" spans="1:10" s="48" customFormat="1">
      <c r="A50" s="61"/>
      <c r="F50" s="45"/>
      <c r="G50" s="45"/>
      <c r="H50" s="45"/>
      <c r="I50" s="45"/>
      <c r="J50" s="45"/>
    </row>
    <row r="51" spans="1:10" s="48" customFormat="1">
      <c r="A51" s="61"/>
      <c r="F51" s="45"/>
      <c r="G51" s="45"/>
      <c r="H51" s="45"/>
      <c r="I51" s="45"/>
      <c r="J51" s="45"/>
    </row>
    <row r="52" spans="1:10" s="48" customFormat="1">
      <c r="A52" s="61"/>
      <c r="F52" s="45"/>
      <c r="G52" s="45"/>
      <c r="H52" s="45"/>
      <c r="I52" s="45"/>
      <c r="J52" s="45"/>
    </row>
    <row r="53" spans="1:10" s="48" customFormat="1">
      <c r="A53" s="61"/>
      <c r="F53" s="45"/>
      <c r="G53" s="45"/>
      <c r="H53" s="45"/>
      <c r="I53" s="45"/>
      <c r="J53" s="45"/>
    </row>
    <row r="54" spans="1:10" s="48" customFormat="1">
      <c r="A54" s="61"/>
      <c r="F54" s="45"/>
      <c r="G54" s="45"/>
      <c r="H54" s="45"/>
      <c r="I54" s="45"/>
      <c r="J54" s="45"/>
    </row>
    <row r="55" spans="1:10" s="48" customFormat="1">
      <c r="A55" s="61"/>
      <c r="F55" s="45"/>
      <c r="G55" s="45"/>
      <c r="H55" s="45"/>
      <c r="I55" s="45"/>
      <c r="J55" s="45"/>
    </row>
    <row r="56" spans="1:10" s="48" customFormat="1">
      <c r="A56" s="61"/>
      <c r="F56" s="45"/>
      <c r="G56" s="45"/>
      <c r="H56" s="45"/>
      <c r="I56" s="45"/>
      <c r="J56" s="45"/>
    </row>
    <row r="57" spans="1:10" s="48" customFormat="1">
      <c r="A57" s="61"/>
      <c r="F57" s="45"/>
      <c r="G57" s="45"/>
      <c r="H57" s="45"/>
      <c r="I57" s="45"/>
      <c r="J57" s="45"/>
    </row>
    <row r="58" spans="1:10" s="48" customFormat="1">
      <c r="A58" s="61"/>
      <c r="F58" s="45"/>
      <c r="G58" s="45"/>
      <c r="H58" s="45"/>
      <c r="I58" s="45"/>
      <c r="J58" s="45"/>
    </row>
    <row r="59" spans="1:10" s="48" customFormat="1">
      <c r="A59" s="61"/>
      <c r="F59" s="45"/>
      <c r="G59" s="45"/>
      <c r="H59" s="45"/>
      <c r="I59" s="45"/>
      <c r="J59" s="45"/>
    </row>
    <row r="60" spans="1:10" s="48" customFormat="1">
      <c r="A60" s="61"/>
      <c r="F60" s="45"/>
      <c r="G60" s="45"/>
      <c r="H60" s="45"/>
      <c r="I60" s="45"/>
      <c r="J60" s="45"/>
    </row>
    <row r="61" spans="1:10" s="48" customFormat="1">
      <c r="A61" s="61"/>
      <c r="F61" s="45"/>
      <c r="G61" s="45"/>
      <c r="H61" s="45"/>
      <c r="I61" s="45"/>
      <c r="J61" s="45"/>
    </row>
    <row r="62" spans="1:10" s="48" customFormat="1">
      <c r="A62" s="61"/>
      <c r="F62" s="45"/>
      <c r="G62" s="45"/>
      <c r="H62" s="45"/>
      <c r="I62" s="45"/>
      <c r="J62" s="45"/>
    </row>
    <row r="63" spans="1:10" s="48" customFormat="1">
      <c r="A63" s="61"/>
      <c r="F63" s="45"/>
      <c r="G63" s="45"/>
      <c r="H63" s="45"/>
      <c r="I63" s="45"/>
      <c r="J63" s="45"/>
    </row>
    <row r="64" spans="1:10" s="48" customFormat="1">
      <c r="A64" s="61"/>
      <c r="F64" s="45"/>
      <c r="G64" s="45"/>
      <c r="H64" s="45"/>
      <c r="I64" s="45"/>
      <c r="J64" s="45"/>
    </row>
    <row r="65" spans="1:10" s="48" customFormat="1">
      <c r="A65" s="61"/>
      <c r="F65" s="45"/>
      <c r="G65" s="45"/>
      <c r="H65" s="45"/>
      <c r="I65" s="45"/>
      <c r="J65" s="45"/>
    </row>
    <row r="66" spans="1:10" s="48" customFormat="1">
      <c r="A66" s="61"/>
      <c r="F66" s="45"/>
      <c r="G66" s="45"/>
      <c r="H66" s="45"/>
      <c r="I66" s="45"/>
      <c r="J66" s="45"/>
    </row>
    <row r="67" spans="1:10" s="48" customFormat="1">
      <c r="A67" s="61"/>
      <c r="F67" s="45"/>
      <c r="G67" s="45"/>
      <c r="H67" s="45"/>
      <c r="I67" s="45"/>
      <c r="J67" s="45"/>
    </row>
    <row r="68" spans="1:10" s="48" customFormat="1">
      <c r="A68" s="61"/>
      <c r="F68" s="45"/>
      <c r="G68" s="45"/>
      <c r="H68" s="45"/>
      <c r="I68" s="45"/>
      <c r="J68" s="45"/>
    </row>
    <row r="69" spans="1:10" s="48" customFormat="1">
      <c r="A69" s="61"/>
      <c r="F69" s="45"/>
      <c r="G69" s="45"/>
      <c r="H69" s="45"/>
      <c r="I69" s="45"/>
      <c r="J69" s="45"/>
    </row>
    <row r="70" spans="1:10" s="48" customFormat="1">
      <c r="A70" s="61"/>
      <c r="F70" s="45"/>
      <c r="G70" s="45"/>
      <c r="H70" s="45"/>
      <c r="I70" s="45"/>
      <c r="J70" s="45"/>
    </row>
    <row r="71" spans="1:10" s="48" customFormat="1">
      <c r="A71" s="61"/>
      <c r="F71" s="45"/>
      <c r="G71" s="45"/>
      <c r="H71" s="45"/>
      <c r="I71" s="45"/>
      <c r="J71" s="45"/>
    </row>
    <row r="72" spans="1:10" s="48" customFormat="1">
      <c r="A72" s="61"/>
      <c r="F72" s="45"/>
      <c r="G72" s="45"/>
      <c r="H72" s="45"/>
      <c r="I72" s="45"/>
      <c r="J72" s="45"/>
    </row>
    <row r="73" spans="1:10" s="48" customFormat="1">
      <c r="A73" s="61"/>
      <c r="F73" s="45"/>
      <c r="G73" s="45"/>
      <c r="H73" s="45"/>
      <c r="I73" s="45"/>
      <c r="J73" s="45"/>
    </row>
    <row r="74" spans="1:10" s="48" customFormat="1">
      <c r="A74" s="61"/>
      <c r="F74" s="45"/>
      <c r="G74" s="45"/>
      <c r="H74" s="45"/>
      <c r="I74" s="45"/>
      <c r="J74" s="45"/>
    </row>
    <row r="75" spans="1:10" s="48" customFormat="1">
      <c r="A75" s="61"/>
      <c r="F75" s="45"/>
      <c r="G75" s="45"/>
      <c r="H75" s="45"/>
      <c r="I75" s="45"/>
      <c r="J75" s="45"/>
    </row>
    <row r="76" spans="1:10" s="48" customFormat="1">
      <c r="A76" s="61"/>
      <c r="F76" s="45"/>
      <c r="G76" s="45"/>
      <c r="H76" s="45"/>
      <c r="I76" s="45"/>
      <c r="J76" s="45"/>
    </row>
    <row r="77" spans="1:10" s="48" customFormat="1">
      <c r="A77" s="61"/>
      <c r="F77" s="45"/>
      <c r="G77" s="45"/>
      <c r="H77" s="45"/>
      <c r="I77" s="45"/>
      <c r="J77" s="45"/>
    </row>
    <row r="78" spans="1:10" s="48" customFormat="1">
      <c r="A78" s="61"/>
      <c r="F78" s="45"/>
      <c r="G78" s="45"/>
      <c r="H78" s="45"/>
      <c r="I78" s="45"/>
      <c r="J78" s="45"/>
    </row>
    <row r="79" spans="1:10" s="48" customFormat="1">
      <c r="A79" s="61"/>
      <c r="F79" s="45"/>
      <c r="G79" s="45"/>
      <c r="H79" s="45"/>
      <c r="I79" s="45"/>
      <c r="J79" s="45"/>
    </row>
    <row r="80" spans="1:10" s="48" customFormat="1">
      <c r="A80" s="61"/>
      <c r="F80" s="45"/>
      <c r="G80" s="45"/>
      <c r="H80" s="45"/>
      <c r="I80" s="45"/>
      <c r="J80" s="45"/>
    </row>
    <row r="81" spans="1:10" s="48" customFormat="1">
      <c r="A81" s="61"/>
      <c r="F81" s="45"/>
      <c r="G81" s="45"/>
      <c r="H81" s="45"/>
      <c r="I81" s="45"/>
      <c r="J81" s="45"/>
    </row>
    <row r="82" spans="1:10" s="48" customFormat="1">
      <c r="A82" s="61"/>
      <c r="F82" s="45"/>
      <c r="G82" s="45"/>
      <c r="H82" s="45"/>
      <c r="I82" s="45"/>
      <c r="J82" s="45"/>
    </row>
    <row r="83" spans="1:10" s="48" customFormat="1">
      <c r="A83" s="61"/>
      <c r="F83" s="45"/>
      <c r="G83" s="45"/>
      <c r="H83" s="45"/>
      <c r="I83" s="45"/>
      <c r="J83" s="45"/>
    </row>
    <row r="84" spans="1:10" s="48" customFormat="1">
      <c r="A84" s="61"/>
      <c r="F84" s="45"/>
      <c r="G84" s="45"/>
      <c r="H84" s="45"/>
      <c r="I84" s="45"/>
      <c r="J84" s="45"/>
    </row>
    <row r="85" spans="1:10" s="48" customFormat="1">
      <c r="A85" s="61"/>
      <c r="F85" s="45"/>
      <c r="G85" s="45"/>
      <c r="H85" s="45"/>
      <c r="I85" s="45"/>
      <c r="J85" s="45"/>
    </row>
    <row r="86" spans="1:10" s="48" customFormat="1">
      <c r="A86" s="61"/>
      <c r="F86" s="45"/>
      <c r="G86" s="45"/>
      <c r="H86" s="45"/>
      <c r="I86" s="45"/>
      <c r="J86" s="45"/>
    </row>
    <row r="87" spans="1:10" s="48" customFormat="1">
      <c r="A87" s="61"/>
      <c r="F87" s="45"/>
      <c r="G87" s="45"/>
      <c r="H87" s="45"/>
      <c r="I87" s="45"/>
      <c r="J87" s="45"/>
    </row>
    <row r="88" spans="1:10" s="48" customFormat="1">
      <c r="A88" s="61"/>
      <c r="F88" s="45"/>
      <c r="G88" s="45"/>
      <c r="H88" s="45"/>
      <c r="I88" s="45"/>
      <c r="J88" s="45"/>
    </row>
    <row r="89" spans="1:10" s="48" customFormat="1">
      <c r="A89" s="61"/>
      <c r="F89" s="45"/>
      <c r="G89" s="45"/>
      <c r="H89" s="45"/>
      <c r="I89" s="45"/>
      <c r="J89" s="45"/>
    </row>
    <row r="90" spans="1:10" s="48" customFormat="1">
      <c r="A90" s="61"/>
      <c r="F90" s="45"/>
      <c r="G90" s="45"/>
      <c r="H90" s="45"/>
      <c r="I90" s="45"/>
      <c r="J90" s="45"/>
    </row>
    <row r="91" spans="1:10" s="48" customFormat="1">
      <c r="A91" s="61"/>
      <c r="F91" s="45"/>
      <c r="G91" s="45"/>
      <c r="H91" s="45"/>
      <c r="I91" s="45"/>
      <c r="J91" s="45"/>
    </row>
    <row r="92" spans="1:10" s="48" customFormat="1">
      <c r="A92" s="61"/>
      <c r="F92" s="45"/>
      <c r="G92" s="45"/>
      <c r="H92" s="45"/>
      <c r="I92" s="45"/>
      <c r="J92" s="45"/>
    </row>
    <row r="93" spans="1:10" s="48" customFormat="1">
      <c r="A93" s="61"/>
      <c r="F93" s="45"/>
      <c r="G93" s="45"/>
      <c r="H93" s="45"/>
      <c r="I93" s="45"/>
      <c r="J93" s="45"/>
    </row>
    <row r="94" spans="1:10" s="48" customFormat="1">
      <c r="A94" s="61"/>
      <c r="F94" s="45"/>
      <c r="G94" s="45"/>
      <c r="H94" s="45"/>
      <c r="I94" s="45"/>
      <c r="J94" s="45"/>
    </row>
    <row r="95" spans="1:10" s="48" customFormat="1">
      <c r="A95" s="61"/>
      <c r="F95" s="45"/>
      <c r="G95" s="45"/>
      <c r="H95" s="45"/>
      <c r="I95" s="45"/>
      <c r="J95" s="45"/>
    </row>
    <row r="96" spans="1:10" s="48" customFormat="1">
      <c r="A96" s="61"/>
      <c r="F96" s="45"/>
      <c r="G96" s="45"/>
      <c r="H96" s="45"/>
      <c r="I96" s="45"/>
      <c r="J96" s="45"/>
    </row>
    <row r="97" spans="1:10" s="48" customFormat="1">
      <c r="A97" s="61"/>
      <c r="F97" s="45"/>
      <c r="G97" s="45"/>
      <c r="H97" s="45"/>
      <c r="I97" s="45"/>
      <c r="J97" s="45"/>
    </row>
    <row r="98" spans="1:10" s="48" customFormat="1">
      <c r="A98" s="61"/>
      <c r="F98" s="45"/>
      <c r="G98" s="45"/>
      <c r="H98" s="45"/>
      <c r="I98" s="45"/>
      <c r="J98" s="45"/>
    </row>
    <row r="99" spans="1:10" s="48" customFormat="1">
      <c r="A99" s="61"/>
      <c r="F99" s="45"/>
      <c r="G99" s="45"/>
      <c r="H99" s="45"/>
      <c r="I99" s="45"/>
      <c r="J99" s="45"/>
    </row>
    <row r="100" spans="1:10" s="48" customFormat="1">
      <c r="A100" s="61"/>
      <c r="F100" s="45"/>
      <c r="G100" s="45"/>
      <c r="H100" s="45"/>
      <c r="I100" s="45"/>
      <c r="J100" s="45"/>
    </row>
    <row r="101" spans="1:10" s="48" customFormat="1">
      <c r="A101" s="61"/>
      <c r="F101" s="45"/>
      <c r="G101" s="45"/>
      <c r="H101" s="45"/>
      <c r="I101" s="45"/>
      <c r="J101" s="45"/>
    </row>
    <row r="102" spans="1:10" s="48" customFormat="1">
      <c r="A102" s="61"/>
      <c r="F102" s="45"/>
      <c r="G102" s="45"/>
      <c r="H102" s="45"/>
      <c r="I102" s="45"/>
      <c r="J102" s="45"/>
    </row>
    <row r="103" spans="1:10" s="48" customFormat="1">
      <c r="A103" s="61"/>
      <c r="F103" s="45"/>
      <c r="G103" s="45"/>
      <c r="H103" s="45"/>
      <c r="I103" s="45"/>
      <c r="J103" s="45"/>
    </row>
    <row r="104" spans="1:10" s="48" customFormat="1">
      <c r="A104" s="61"/>
      <c r="F104" s="45"/>
      <c r="G104" s="45"/>
      <c r="H104" s="45"/>
      <c r="I104" s="45"/>
      <c r="J104" s="45"/>
    </row>
    <row r="105" spans="1:10" s="48" customFormat="1">
      <c r="A105" s="61"/>
      <c r="F105" s="45"/>
      <c r="G105" s="45"/>
      <c r="H105" s="45"/>
      <c r="I105" s="45"/>
      <c r="J105" s="45"/>
    </row>
    <row r="106" spans="1:10" s="48" customFormat="1">
      <c r="A106" s="61"/>
      <c r="F106" s="45"/>
      <c r="G106" s="45"/>
      <c r="H106" s="45"/>
      <c r="I106" s="45"/>
      <c r="J106" s="45"/>
    </row>
    <row r="107" spans="1:10" s="48" customFormat="1">
      <c r="A107" s="61"/>
      <c r="F107" s="45"/>
      <c r="G107" s="45"/>
      <c r="H107" s="45"/>
      <c r="I107" s="45"/>
      <c r="J107" s="45"/>
    </row>
    <row r="108" spans="1:10" s="48" customFormat="1">
      <c r="A108" s="61"/>
      <c r="F108" s="45"/>
      <c r="G108" s="45"/>
      <c r="H108" s="45"/>
      <c r="I108" s="45"/>
      <c r="J108" s="45"/>
    </row>
    <row r="109" spans="1:10" s="48" customFormat="1">
      <c r="A109" s="61"/>
      <c r="F109" s="45"/>
      <c r="G109" s="45"/>
      <c r="H109" s="45"/>
      <c r="I109" s="45"/>
      <c r="J109" s="45"/>
    </row>
    <row r="110" spans="1:10" s="48" customFormat="1">
      <c r="A110" s="61"/>
      <c r="F110" s="45"/>
      <c r="G110" s="45"/>
      <c r="H110" s="45"/>
      <c r="I110" s="45"/>
      <c r="J110" s="45"/>
    </row>
    <row r="111" spans="1:10" s="48" customFormat="1">
      <c r="A111" s="61"/>
      <c r="F111" s="45"/>
      <c r="G111" s="45"/>
      <c r="H111" s="45"/>
      <c r="I111" s="45"/>
      <c r="J111" s="45"/>
    </row>
    <row r="112" spans="1:10" s="48" customFormat="1">
      <c r="A112" s="61"/>
      <c r="F112" s="45"/>
      <c r="G112" s="45"/>
      <c r="H112" s="45"/>
      <c r="I112" s="45"/>
      <c r="J112" s="45"/>
    </row>
    <row r="113" spans="1:10" s="48" customFormat="1">
      <c r="A113" s="61"/>
      <c r="F113" s="45"/>
      <c r="G113" s="45"/>
      <c r="H113" s="45"/>
      <c r="I113" s="45"/>
      <c r="J113" s="45"/>
    </row>
    <row r="114" spans="1:10" s="48" customFormat="1">
      <c r="A114" s="61"/>
      <c r="F114" s="45"/>
      <c r="G114" s="45"/>
      <c r="H114" s="45"/>
      <c r="I114" s="45"/>
      <c r="J114" s="45"/>
    </row>
    <row r="115" spans="1:10" s="48" customFormat="1">
      <c r="A115" s="61"/>
      <c r="F115" s="45"/>
      <c r="G115" s="45"/>
      <c r="H115" s="45"/>
      <c r="I115" s="45"/>
      <c r="J115" s="45"/>
    </row>
    <row r="116" spans="1:10" s="48" customFormat="1">
      <c r="A116" s="61"/>
      <c r="F116" s="45"/>
      <c r="G116" s="45"/>
      <c r="H116" s="45"/>
      <c r="I116" s="45"/>
      <c r="J116" s="45"/>
    </row>
    <row r="117" spans="1:10" s="48" customFormat="1">
      <c r="A117" s="61"/>
      <c r="F117" s="45"/>
      <c r="G117" s="45"/>
      <c r="H117" s="45"/>
      <c r="I117" s="45"/>
      <c r="J117" s="45"/>
    </row>
    <row r="118" spans="1:10" s="48" customFormat="1">
      <c r="A118" s="61"/>
      <c r="F118" s="45"/>
      <c r="G118" s="45"/>
      <c r="H118" s="45"/>
      <c r="I118" s="45"/>
      <c r="J118" s="45"/>
    </row>
    <row r="119" spans="1:10" s="48" customFormat="1">
      <c r="A119" s="61"/>
      <c r="F119" s="45"/>
      <c r="G119" s="45"/>
      <c r="H119" s="45"/>
      <c r="I119" s="45"/>
      <c r="J119" s="45"/>
    </row>
    <row r="120" spans="1:10" s="48" customFormat="1">
      <c r="A120" s="61"/>
      <c r="F120" s="45"/>
      <c r="G120" s="45"/>
      <c r="H120" s="45"/>
      <c r="I120" s="45"/>
      <c r="J120" s="45"/>
    </row>
    <row r="121" spans="1:10" s="48" customFormat="1">
      <c r="A121" s="61"/>
      <c r="F121" s="45"/>
      <c r="G121" s="45"/>
      <c r="H121" s="45"/>
      <c r="I121" s="45"/>
      <c r="J121" s="45"/>
    </row>
    <row r="122" spans="1:10" s="48" customFormat="1">
      <c r="A122" s="61"/>
      <c r="F122" s="45"/>
      <c r="G122" s="45"/>
      <c r="H122" s="45"/>
      <c r="I122" s="45"/>
      <c r="J122" s="45"/>
    </row>
    <row r="123" spans="1:10" s="48" customFormat="1">
      <c r="A123" s="61"/>
      <c r="F123" s="45"/>
      <c r="G123" s="45"/>
      <c r="H123" s="45"/>
      <c r="I123" s="45"/>
      <c r="J123" s="45"/>
    </row>
    <row r="124" spans="1:10" s="48" customFormat="1">
      <c r="A124" s="61"/>
      <c r="F124" s="45"/>
      <c r="G124" s="45"/>
      <c r="H124" s="45"/>
      <c r="I124" s="45"/>
      <c r="J124" s="45"/>
    </row>
    <row r="125" spans="1:10" s="48" customFormat="1">
      <c r="A125" s="61"/>
      <c r="F125" s="45"/>
      <c r="G125" s="45"/>
      <c r="H125" s="45"/>
      <c r="I125" s="45"/>
      <c r="J125" s="45"/>
    </row>
    <row r="126" spans="1:10" s="48" customFormat="1">
      <c r="A126" s="61"/>
      <c r="F126" s="45"/>
      <c r="G126" s="45"/>
      <c r="H126" s="45"/>
      <c r="I126" s="45"/>
      <c r="J126" s="45"/>
    </row>
    <row r="127" spans="1:10" s="48" customFormat="1">
      <c r="A127" s="61"/>
      <c r="F127" s="45"/>
      <c r="G127" s="45"/>
      <c r="H127" s="45"/>
      <c r="I127" s="45"/>
      <c r="J127" s="45"/>
    </row>
    <row r="128" spans="1:10" s="48" customFormat="1">
      <c r="A128" s="61"/>
      <c r="F128" s="45"/>
      <c r="G128" s="45"/>
      <c r="H128" s="45"/>
      <c r="I128" s="45"/>
      <c r="J128" s="45"/>
    </row>
    <row r="129" spans="1:10" s="48" customFormat="1">
      <c r="A129" s="61"/>
      <c r="F129" s="45"/>
      <c r="G129" s="45"/>
      <c r="H129" s="45"/>
      <c r="I129" s="45"/>
      <c r="J129" s="45"/>
    </row>
    <row r="130" spans="1:10" s="48" customFormat="1">
      <c r="A130" s="61"/>
      <c r="F130" s="45"/>
      <c r="G130" s="45"/>
      <c r="H130" s="45"/>
      <c r="I130" s="45"/>
      <c r="J130" s="45"/>
    </row>
    <row r="131" spans="1:10" s="48" customFormat="1">
      <c r="A131" s="61"/>
      <c r="F131" s="45"/>
      <c r="G131" s="45"/>
      <c r="H131" s="45"/>
      <c r="I131" s="45"/>
      <c r="J131" s="45"/>
    </row>
    <row r="132" spans="1:10" s="48" customFormat="1">
      <c r="A132" s="61"/>
      <c r="F132" s="45"/>
      <c r="G132" s="45"/>
      <c r="H132" s="45"/>
      <c r="I132" s="45"/>
      <c r="J132" s="45"/>
    </row>
    <row r="133" spans="1:10" s="48" customFormat="1">
      <c r="A133" s="61"/>
      <c r="F133" s="45"/>
      <c r="G133" s="45"/>
      <c r="H133" s="45"/>
      <c r="I133" s="45"/>
      <c r="J133" s="45"/>
    </row>
    <row r="134" spans="1:10" s="48" customFormat="1">
      <c r="A134" s="61"/>
      <c r="F134" s="45"/>
      <c r="G134" s="45"/>
      <c r="H134" s="45"/>
      <c r="I134" s="45"/>
      <c r="J134" s="45"/>
    </row>
    <row r="135" spans="1:10" s="48" customFormat="1">
      <c r="A135" s="61"/>
      <c r="F135" s="45"/>
      <c r="G135" s="45"/>
      <c r="H135" s="45"/>
      <c r="I135" s="45"/>
      <c r="J135" s="45"/>
    </row>
    <row r="136" spans="1:10" s="48" customFormat="1">
      <c r="A136" s="61"/>
      <c r="F136" s="45"/>
      <c r="G136" s="45"/>
      <c r="H136" s="45"/>
      <c r="I136" s="45"/>
      <c r="J136" s="45"/>
    </row>
    <row r="137" spans="1:10" s="48" customFormat="1">
      <c r="A137" s="61"/>
      <c r="F137" s="45"/>
      <c r="G137" s="45"/>
      <c r="H137" s="45"/>
      <c r="I137" s="45"/>
      <c r="J137" s="45"/>
    </row>
    <row r="138" spans="1:10" s="48" customFormat="1">
      <c r="A138" s="61"/>
      <c r="F138" s="45"/>
      <c r="G138" s="45"/>
      <c r="H138" s="45"/>
      <c r="I138" s="45"/>
      <c r="J138" s="45"/>
    </row>
    <row r="139" spans="1:10" s="48" customFormat="1">
      <c r="A139" s="61"/>
      <c r="F139" s="45"/>
      <c r="G139" s="45"/>
      <c r="H139" s="45"/>
      <c r="I139" s="45"/>
      <c r="J139" s="45"/>
    </row>
    <row r="140" spans="1:10" s="48" customFormat="1">
      <c r="A140" s="61"/>
      <c r="F140" s="45"/>
      <c r="G140" s="45"/>
      <c r="H140" s="45"/>
      <c r="I140" s="45"/>
      <c r="J140" s="45"/>
    </row>
    <row r="141" spans="1:10" s="48" customFormat="1">
      <c r="A141" s="61"/>
      <c r="F141" s="45"/>
      <c r="G141" s="45"/>
      <c r="H141" s="45"/>
      <c r="I141" s="45"/>
      <c r="J141" s="45"/>
    </row>
    <row r="142" spans="1:10" s="48" customFormat="1">
      <c r="A142" s="61"/>
      <c r="F142" s="45"/>
      <c r="G142" s="45"/>
      <c r="H142" s="45"/>
      <c r="I142" s="45"/>
      <c r="J142" s="45"/>
    </row>
    <row r="143" spans="1:10" s="48" customFormat="1">
      <c r="A143" s="61"/>
      <c r="F143" s="45"/>
      <c r="G143" s="45"/>
      <c r="H143" s="45"/>
      <c r="I143" s="45"/>
      <c r="J143" s="45"/>
    </row>
    <row r="144" spans="1:10" s="48" customFormat="1">
      <c r="A144" s="61"/>
      <c r="F144" s="45"/>
      <c r="G144" s="45"/>
      <c r="H144" s="45"/>
      <c r="I144" s="45"/>
      <c r="J144" s="45"/>
    </row>
    <row r="145" spans="1:10" s="48" customFormat="1">
      <c r="A145" s="61"/>
      <c r="F145" s="45"/>
      <c r="G145" s="45"/>
      <c r="H145" s="45"/>
      <c r="I145" s="45"/>
      <c r="J145" s="45"/>
    </row>
    <row r="146" spans="1:10" s="48" customFormat="1">
      <c r="A146" s="61"/>
      <c r="F146" s="45"/>
      <c r="G146" s="45"/>
      <c r="H146" s="45"/>
      <c r="I146" s="45"/>
      <c r="J146" s="45"/>
    </row>
    <row r="147" spans="1:10" s="48" customFormat="1">
      <c r="A147" s="61"/>
      <c r="F147" s="45"/>
      <c r="G147" s="45"/>
      <c r="H147" s="45"/>
      <c r="I147" s="45"/>
      <c r="J147" s="45"/>
    </row>
    <row r="148" spans="1:10" s="48" customFormat="1">
      <c r="A148" s="61"/>
      <c r="F148" s="45"/>
      <c r="G148" s="45"/>
      <c r="H148" s="45"/>
      <c r="I148" s="45"/>
      <c r="J148" s="45"/>
    </row>
    <row r="149" spans="1:10" s="48" customFormat="1">
      <c r="A149" s="61"/>
      <c r="F149" s="45"/>
      <c r="G149" s="45"/>
      <c r="H149" s="45"/>
      <c r="I149" s="45"/>
      <c r="J149" s="45"/>
    </row>
    <row r="150" spans="1:10" s="48" customFormat="1">
      <c r="A150" s="61"/>
      <c r="F150" s="45"/>
      <c r="G150" s="45"/>
      <c r="H150" s="45"/>
      <c r="I150" s="45"/>
      <c r="J150" s="45"/>
    </row>
    <row r="151" spans="1:10" s="48" customFormat="1">
      <c r="A151" s="61"/>
      <c r="F151" s="45"/>
      <c r="G151" s="45"/>
      <c r="H151" s="45"/>
      <c r="I151" s="45"/>
      <c r="J151" s="45"/>
    </row>
    <row r="152" spans="1:10" s="48" customFormat="1">
      <c r="A152" s="61"/>
      <c r="F152" s="45"/>
      <c r="G152" s="45"/>
      <c r="H152" s="45"/>
      <c r="I152" s="45"/>
      <c r="J152" s="45"/>
    </row>
    <row r="153" spans="1:10" s="48" customFormat="1">
      <c r="A153" s="61"/>
      <c r="F153" s="45"/>
      <c r="G153" s="45"/>
      <c r="H153" s="45"/>
      <c r="I153" s="45"/>
      <c r="J153" s="45"/>
    </row>
    <row r="154" spans="1:10" s="48" customFormat="1">
      <c r="A154" s="61"/>
      <c r="F154" s="45"/>
      <c r="G154" s="45"/>
      <c r="H154" s="45"/>
      <c r="I154" s="45"/>
      <c r="J154" s="45"/>
    </row>
    <row r="155" spans="1:10" s="48" customFormat="1">
      <c r="A155" s="61"/>
      <c r="F155" s="45"/>
      <c r="G155" s="45"/>
      <c r="H155" s="45"/>
      <c r="I155" s="45"/>
      <c r="J155" s="45"/>
    </row>
    <row r="156" spans="1:10" s="48" customFormat="1">
      <c r="A156" s="61"/>
      <c r="F156" s="45"/>
      <c r="G156" s="45"/>
      <c r="H156" s="45"/>
      <c r="I156" s="45"/>
      <c r="J156" s="45"/>
    </row>
    <row r="157" spans="1:10" s="48" customFormat="1">
      <c r="A157" s="61"/>
      <c r="F157" s="45"/>
      <c r="G157" s="45"/>
      <c r="H157" s="45"/>
      <c r="I157" s="45"/>
      <c r="J157" s="45"/>
    </row>
    <row r="158" spans="1:10" s="48" customFormat="1">
      <c r="A158" s="61"/>
      <c r="F158" s="45"/>
      <c r="G158" s="45"/>
      <c r="H158" s="45"/>
      <c r="I158" s="45"/>
      <c r="J158" s="45"/>
    </row>
    <row r="159" spans="1:10" s="48" customFormat="1">
      <c r="A159" s="61"/>
      <c r="F159" s="45"/>
      <c r="G159" s="45"/>
      <c r="H159" s="45"/>
      <c r="I159" s="45"/>
      <c r="J159" s="45"/>
    </row>
    <row r="160" spans="1:10" s="48" customFormat="1">
      <c r="A160" s="61"/>
      <c r="F160" s="45"/>
      <c r="G160" s="45"/>
      <c r="H160" s="45"/>
      <c r="I160" s="45"/>
      <c r="J160" s="45"/>
    </row>
    <row r="161" spans="1:10" s="48" customFormat="1">
      <c r="A161" s="61"/>
      <c r="F161" s="45"/>
      <c r="G161" s="45"/>
      <c r="H161" s="45"/>
      <c r="I161" s="45"/>
      <c r="J161" s="45"/>
    </row>
    <row r="162" spans="1:10" s="48" customFormat="1">
      <c r="A162" s="61"/>
      <c r="F162" s="45"/>
      <c r="G162" s="45"/>
      <c r="H162" s="45"/>
      <c r="I162" s="45"/>
      <c r="J162" s="45"/>
    </row>
    <row r="163" spans="1:10" s="48" customFormat="1">
      <c r="A163" s="61"/>
      <c r="F163" s="45"/>
      <c r="G163" s="45"/>
      <c r="H163" s="45"/>
      <c r="I163" s="45"/>
      <c r="J163" s="45"/>
    </row>
    <row r="164" spans="1:10" s="48" customFormat="1">
      <c r="A164" s="61"/>
      <c r="F164" s="45"/>
      <c r="G164" s="45"/>
      <c r="H164" s="45"/>
      <c r="I164" s="45"/>
      <c r="J164" s="45"/>
    </row>
    <row r="165" spans="1:10" s="48" customFormat="1">
      <c r="A165" s="61"/>
      <c r="F165" s="45"/>
      <c r="G165" s="45"/>
      <c r="H165" s="45"/>
      <c r="I165" s="45"/>
      <c r="J165" s="45"/>
    </row>
    <row r="166" spans="1:10" s="48" customFormat="1">
      <c r="A166" s="61"/>
      <c r="F166" s="45"/>
      <c r="G166" s="45"/>
      <c r="H166" s="45"/>
      <c r="I166" s="45"/>
      <c r="J166" s="45"/>
    </row>
    <row r="167" spans="1:10" s="48" customFormat="1">
      <c r="A167" s="61"/>
      <c r="F167" s="45"/>
      <c r="G167" s="45"/>
      <c r="H167" s="45"/>
      <c r="I167" s="45"/>
      <c r="J167" s="45"/>
    </row>
    <row r="168" spans="1:10" s="48" customFormat="1">
      <c r="A168" s="61"/>
      <c r="F168" s="45"/>
      <c r="G168" s="45"/>
      <c r="H168" s="45"/>
      <c r="I168" s="45"/>
      <c r="J168" s="45"/>
    </row>
    <row r="169" spans="1:10" s="48" customFormat="1">
      <c r="A169" s="61"/>
      <c r="F169" s="45"/>
      <c r="G169" s="45"/>
      <c r="H169" s="45"/>
      <c r="I169" s="45"/>
      <c r="J169" s="45"/>
    </row>
    <row r="170" spans="1:10" s="48" customFormat="1">
      <c r="A170" s="61"/>
      <c r="F170" s="45"/>
      <c r="G170" s="45"/>
      <c r="H170" s="45"/>
      <c r="I170" s="45"/>
      <c r="J170" s="45"/>
    </row>
    <row r="171" spans="1:10" s="48" customFormat="1">
      <c r="A171" s="61"/>
      <c r="F171" s="45"/>
      <c r="G171" s="45"/>
      <c r="H171" s="45"/>
      <c r="I171" s="45"/>
      <c r="J171" s="45"/>
    </row>
    <row r="172" spans="1:10" s="48" customFormat="1">
      <c r="A172" s="61"/>
      <c r="F172" s="45"/>
      <c r="G172" s="45"/>
      <c r="H172" s="45"/>
      <c r="I172" s="45"/>
      <c r="J172" s="45"/>
    </row>
    <row r="173" spans="1:10" s="48" customFormat="1">
      <c r="A173" s="61"/>
      <c r="F173" s="45"/>
      <c r="G173" s="45"/>
      <c r="H173" s="45"/>
      <c r="I173" s="45"/>
      <c r="J173" s="45"/>
    </row>
    <row r="174" spans="1:10" s="48" customFormat="1">
      <c r="A174" s="61"/>
      <c r="F174" s="45"/>
      <c r="G174" s="45"/>
      <c r="H174" s="45"/>
      <c r="I174" s="45"/>
      <c r="J174" s="45"/>
    </row>
    <row r="175" spans="1:10" s="48" customFormat="1">
      <c r="A175" s="61"/>
      <c r="F175" s="45"/>
      <c r="G175" s="45"/>
      <c r="H175" s="45"/>
      <c r="I175" s="45"/>
      <c r="J175" s="45"/>
    </row>
    <row r="176" spans="1:10" s="48" customFormat="1">
      <c r="A176" s="61"/>
      <c r="F176" s="45"/>
      <c r="G176" s="45"/>
      <c r="H176" s="45"/>
      <c r="I176" s="45"/>
      <c r="J176" s="45"/>
    </row>
    <row r="177" spans="1:10" s="48" customFormat="1">
      <c r="A177" s="61"/>
      <c r="F177" s="45"/>
      <c r="G177" s="45"/>
      <c r="H177" s="45"/>
      <c r="I177" s="45"/>
      <c r="J177" s="45"/>
    </row>
    <row r="178" spans="1:10" s="48" customFormat="1">
      <c r="A178" s="61"/>
      <c r="F178" s="45"/>
      <c r="G178" s="45"/>
      <c r="H178" s="45"/>
      <c r="I178" s="45"/>
      <c r="J178" s="45"/>
    </row>
    <row r="179" spans="1:10" s="48" customFormat="1">
      <c r="A179" s="61"/>
      <c r="F179" s="45"/>
      <c r="G179" s="45"/>
      <c r="H179" s="45"/>
      <c r="I179" s="45"/>
      <c r="J179" s="45"/>
    </row>
    <row r="180" spans="1:10" s="48" customFormat="1">
      <c r="A180" s="61"/>
      <c r="F180" s="45"/>
      <c r="G180" s="45"/>
      <c r="H180" s="45"/>
      <c r="I180" s="45"/>
      <c r="J180" s="45"/>
    </row>
    <row r="181" spans="1:10" s="48" customFormat="1">
      <c r="A181" s="61"/>
      <c r="F181" s="45"/>
      <c r="G181" s="45"/>
      <c r="H181" s="45"/>
      <c r="I181" s="45"/>
      <c r="J181" s="45"/>
    </row>
    <row r="182" spans="1:10" s="48" customFormat="1">
      <c r="A182" s="61"/>
      <c r="F182" s="45"/>
      <c r="G182" s="45"/>
      <c r="H182" s="45"/>
      <c r="I182" s="45"/>
      <c r="J182" s="45"/>
    </row>
    <row r="183" spans="1:10" s="48" customFormat="1">
      <c r="A183" s="61"/>
      <c r="F183" s="45"/>
      <c r="G183" s="45"/>
      <c r="H183" s="45"/>
      <c r="I183" s="45"/>
      <c r="J183" s="45"/>
    </row>
    <row r="184" spans="1:10" s="48" customFormat="1">
      <c r="A184" s="61"/>
      <c r="F184" s="45"/>
      <c r="G184" s="45"/>
      <c r="H184" s="45"/>
      <c r="I184" s="45"/>
      <c r="J184" s="45"/>
    </row>
    <row r="185" spans="1:10" s="48" customFormat="1">
      <c r="A185" s="61"/>
      <c r="F185" s="45"/>
      <c r="G185" s="45"/>
      <c r="H185" s="45"/>
      <c r="I185" s="45"/>
      <c r="J185" s="45"/>
    </row>
    <row r="186" spans="1:10" s="48" customFormat="1">
      <c r="A186" s="61"/>
      <c r="F186" s="45"/>
      <c r="G186" s="45"/>
      <c r="H186" s="45"/>
      <c r="I186" s="45"/>
      <c r="J186" s="45"/>
    </row>
    <row r="187" spans="1:10" s="48" customFormat="1">
      <c r="A187" s="61"/>
      <c r="F187" s="45"/>
      <c r="G187" s="45"/>
      <c r="H187" s="45"/>
      <c r="I187" s="45"/>
      <c r="J187" s="45"/>
    </row>
    <row r="188" spans="1:10" s="48" customFormat="1">
      <c r="A188" s="61"/>
      <c r="F188" s="45"/>
      <c r="G188" s="45"/>
      <c r="H188" s="45"/>
      <c r="I188" s="45"/>
      <c r="J188" s="45"/>
    </row>
    <row r="189" spans="1:10" s="48" customFormat="1">
      <c r="A189" s="61"/>
      <c r="F189" s="45"/>
      <c r="G189" s="45"/>
      <c r="H189" s="45"/>
      <c r="I189" s="45"/>
      <c r="J189" s="45"/>
    </row>
    <row r="190" spans="1:10" s="48" customFormat="1">
      <c r="A190" s="61"/>
      <c r="F190" s="45"/>
      <c r="G190" s="45"/>
      <c r="H190" s="45"/>
      <c r="I190" s="45"/>
      <c r="J190" s="45"/>
    </row>
    <row r="191" spans="1:10" s="48" customFormat="1">
      <c r="A191" s="61"/>
      <c r="F191" s="45"/>
      <c r="G191" s="45"/>
      <c r="H191" s="45"/>
      <c r="I191" s="45"/>
      <c r="J191" s="45"/>
    </row>
    <row r="192" spans="1:10" s="48" customFormat="1">
      <c r="A192" s="61"/>
      <c r="F192" s="45"/>
      <c r="G192" s="45"/>
      <c r="H192" s="45"/>
      <c r="I192" s="45"/>
      <c r="J192" s="45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J7" sqref="J7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13">
    <mergeCell ref="C42:E42"/>
    <mergeCell ref="G42:I42"/>
    <mergeCell ref="A6:I6"/>
    <mergeCell ref="A18:I18"/>
    <mergeCell ref="C41:E41"/>
    <mergeCell ref="G41:I41"/>
    <mergeCell ref="A1:I1"/>
    <mergeCell ref="A3:A4"/>
    <mergeCell ref="B3:B4"/>
    <mergeCell ref="C3:C4"/>
    <mergeCell ref="D3:D4"/>
    <mergeCell ref="E3:E4"/>
    <mergeCell ref="F3:I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16"/>
  <sheetViews>
    <sheetView view="pageBreakPreview" zoomScale="75" zoomScaleNormal="75" zoomScaleSheetLayoutView="50" workbookViewId="0">
      <selection activeCell="E39" sqref="E39:E40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2.140625" style="1" customWidth="1"/>
    <col min="4" max="4" width="13.140625" style="1" customWidth="1"/>
    <col min="5" max="5" width="13.85546875" style="1" customWidth="1"/>
    <col min="6" max="6" width="12.42578125" style="1" bestFit="1" customWidth="1"/>
    <col min="7" max="7" width="10.7109375" style="1" bestFit="1" customWidth="1"/>
    <col min="8" max="8" width="11.42578125" style="1" bestFit="1" customWidth="1"/>
    <col min="9" max="9" width="10.7109375" style="1" bestFit="1" customWidth="1"/>
    <col min="10" max="16384" width="9.140625" style="1"/>
  </cols>
  <sheetData>
    <row r="1" spans="1:9">
      <c r="A1" s="325" t="s">
        <v>372</v>
      </c>
      <c r="B1" s="325"/>
      <c r="C1" s="325"/>
      <c r="D1" s="325"/>
      <c r="E1" s="325"/>
      <c r="F1" s="325"/>
      <c r="G1" s="325"/>
      <c r="H1" s="325"/>
      <c r="I1" s="325"/>
    </row>
    <row r="2" spans="1:9" outlineLevel="1">
      <c r="A2" s="21"/>
      <c r="B2" s="21"/>
      <c r="C2" s="21"/>
      <c r="D2" s="21"/>
      <c r="E2" s="21"/>
      <c r="F2" s="21"/>
      <c r="G2" s="21"/>
      <c r="H2" s="21"/>
      <c r="I2" s="21"/>
    </row>
    <row r="3" spans="1:9" ht="48" customHeight="1">
      <c r="A3" s="326" t="s">
        <v>272</v>
      </c>
      <c r="B3" s="319" t="s">
        <v>0</v>
      </c>
      <c r="C3" s="319" t="s">
        <v>31</v>
      </c>
      <c r="D3" s="319" t="s">
        <v>70</v>
      </c>
      <c r="E3" s="319" t="s">
        <v>181</v>
      </c>
      <c r="F3" s="307" t="s">
        <v>364</v>
      </c>
      <c r="G3" s="307"/>
      <c r="H3" s="307"/>
      <c r="I3" s="307"/>
    </row>
    <row r="4" spans="1:9" ht="38.25" customHeight="1">
      <c r="A4" s="327"/>
      <c r="B4" s="319"/>
      <c r="C4" s="319"/>
      <c r="D4" s="319"/>
      <c r="E4" s="319"/>
      <c r="F4" s="13" t="s">
        <v>373</v>
      </c>
      <c r="G4" s="13" t="s">
        <v>366</v>
      </c>
      <c r="H4" s="13" t="s">
        <v>367</v>
      </c>
      <c r="I4" s="13" t="s">
        <v>86</v>
      </c>
    </row>
    <row r="5" spans="1:9" ht="18" customHeight="1">
      <c r="A5" s="7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59" customFormat="1" ht="20.100000000000001" customHeight="1">
      <c r="A6" s="320" t="s">
        <v>171</v>
      </c>
      <c r="B6" s="321"/>
      <c r="C6" s="321"/>
      <c r="D6" s="321"/>
      <c r="E6" s="321"/>
      <c r="F6" s="321"/>
      <c r="G6" s="321"/>
      <c r="H6" s="321"/>
      <c r="I6" s="322"/>
    </row>
    <row r="7" spans="1:9" ht="37.5">
      <c r="A7" s="46" t="s">
        <v>191</v>
      </c>
      <c r="B7" s="9">
        <v>1170</v>
      </c>
      <c r="C7" s="170">
        <f>'I. Фін результат'!C75</f>
        <v>72</v>
      </c>
      <c r="D7" s="170">
        <f>'I. Фін результат'!D75</f>
        <v>0</v>
      </c>
      <c r="E7" s="170">
        <f>'I. Фін результат'!E75</f>
        <v>546</v>
      </c>
      <c r="F7" s="170">
        <f>'I. Фін результат'!F75</f>
        <v>111</v>
      </c>
      <c r="G7" s="170">
        <f>'I. Фін результат'!G75</f>
        <v>775</v>
      </c>
      <c r="H7" s="170">
        <f>'I. Фін результат'!H75</f>
        <v>21</v>
      </c>
      <c r="I7" s="170">
        <f>'I. Фін результат'!I75</f>
        <v>77</v>
      </c>
    </row>
    <row r="8" spans="1:9" ht="20.100000000000001" customHeight="1">
      <c r="A8" s="46" t="s">
        <v>192</v>
      </c>
      <c r="B8" s="14"/>
      <c r="C8" s="174"/>
      <c r="D8" s="174"/>
      <c r="E8" s="174"/>
      <c r="F8" s="174"/>
      <c r="G8" s="174"/>
      <c r="H8" s="174"/>
      <c r="I8" s="174"/>
    </row>
    <row r="9" spans="1:9" ht="20.100000000000001" customHeight="1">
      <c r="A9" s="46" t="s">
        <v>195</v>
      </c>
      <c r="B9" s="6">
        <v>3000</v>
      </c>
      <c r="C9" s="170">
        <f>'I. Фін результат'!C101</f>
        <v>260</v>
      </c>
      <c r="D9" s="170">
        <f>'I. Фін результат'!D101</f>
        <v>0</v>
      </c>
      <c r="E9" s="170">
        <f>'I. Фін результат'!E101</f>
        <v>512</v>
      </c>
      <c r="F9" s="170">
        <f>'I. Фін результат'!F101</f>
        <v>29</v>
      </c>
      <c r="G9" s="170">
        <f>'I. Фін результат'!G101</f>
        <v>160</v>
      </c>
      <c r="H9" s="170">
        <f>'I. Фін результат'!H101</f>
        <v>232</v>
      </c>
      <c r="I9" s="170">
        <f>'I. Фін результат'!I101</f>
        <v>268</v>
      </c>
    </row>
    <row r="10" spans="1:9" ht="20.100000000000001" customHeight="1">
      <c r="A10" s="46" t="s">
        <v>196</v>
      </c>
      <c r="B10" s="6">
        <v>3010</v>
      </c>
      <c r="C10" s="169"/>
      <c r="D10" s="169"/>
      <c r="E10" s="169"/>
      <c r="F10" s="169"/>
      <c r="G10" s="169"/>
      <c r="H10" s="169"/>
      <c r="I10" s="169"/>
    </row>
    <row r="11" spans="1:9" ht="37.5">
      <c r="A11" s="46" t="s">
        <v>197</v>
      </c>
      <c r="B11" s="6">
        <v>3020</v>
      </c>
      <c r="C11" s="169"/>
      <c r="D11" s="169"/>
      <c r="E11" s="169"/>
      <c r="F11" s="169"/>
      <c r="G11" s="169"/>
      <c r="H11" s="169"/>
      <c r="I11" s="169"/>
    </row>
    <row r="12" spans="1:9" ht="56.25">
      <c r="A12" s="46" t="s">
        <v>198</v>
      </c>
      <c r="B12" s="6">
        <v>3030</v>
      </c>
      <c r="C12" s="169">
        <f t="shared" ref="C12" si="0">C13+C14</f>
        <v>-434</v>
      </c>
      <c r="D12" s="169"/>
      <c r="E12" s="169"/>
      <c r="F12" s="169"/>
      <c r="G12" s="169"/>
      <c r="H12" s="169"/>
      <c r="I12" s="169"/>
    </row>
    <row r="13" spans="1:9" ht="37.5">
      <c r="A13" s="46" t="s">
        <v>450</v>
      </c>
      <c r="B13" s="233" t="s">
        <v>451</v>
      </c>
      <c r="C13" s="169">
        <v>-448</v>
      </c>
      <c r="D13" s="169"/>
      <c r="E13" s="169"/>
      <c r="F13" s="169"/>
      <c r="G13" s="169"/>
      <c r="H13" s="169"/>
      <c r="I13" s="169"/>
    </row>
    <row r="14" spans="1:9" ht="37.5">
      <c r="A14" s="46" t="s">
        <v>457</v>
      </c>
      <c r="B14" s="233" t="s">
        <v>458</v>
      </c>
      <c r="C14" s="169">
        <v>14</v>
      </c>
      <c r="D14" s="169"/>
      <c r="E14" s="169"/>
      <c r="F14" s="169"/>
      <c r="G14" s="169"/>
      <c r="H14" s="169"/>
      <c r="I14" s="169"/>
    </row>
    <row r="15" spans="1:9" ht="42.75" customHeight="1">
      <c r="A15" s="58" t="s">
        <v>258</v>
      </c>
      <c r="B15" s="91">
        <v>3040</v>
      </c>
      <c r="C15" s="171">
        <f t="shared" ref="C15:I15" si="1">SUM(C7:C12)</f>
        <v>-102</v>
      </c>
      <c r="D15" s="171">
        <f t="shared" si="1"/>
        <v>0</v>
      </c>
      <c r="E15" s="171">
        <f t="shared" si="1"/>
        <v>1058</v>
      </c>
      <c r="F15" s="171">
        <f t="shared" si="1"/>
        <v>140</v>
      </c>
      <c r="G15" s="171">
        <f t="shared" si="1"/>
        <v>935</v>
      </c>
      <c r="H15" s="171">
        <f t="shared" si="1"/>
        <v>253</v>
      </c>
      <c r="I15" s="171">
        <f t="shared" si="1"/>
        <v>345</v>
      </c>
    </row>
    <row r="16" spans="1:9" ht="37.5">
      <c r="A16" s="46" t="s">
        <v>199</v>
      </c>
      <c r="B16" s="6">
        <v>3050</v>
      </c>
      <c r="C16" s="169">
        <f t="shared" ref="C16" si="2">SUM(C17:C20)</f>
        <v>-132</v>
      </c>
      <c r="D16" s="169"/>
      <c r="E16" s="169">
        <f>E17+E18+E19</f>
        <v>-327</v>
      </c>
      <c r="F16" s="169"/>
      <c r="G16" s="169"/>
      <c r="H16" s="169"/>
      <c r="I16" s="169"/>
    </row>
    <row r="17" spans="1:9">
      <c r="A17" s="46" t="s">
        <v>452</v>
      </c>
      <c r="B17" s="6" t="s">
        <v>422</v>
      </c>
      <c r="C17" s="169">
        <v>-77</v>
      </c>
      <c r="D17" s="169"/>
      <c r="E17" s="169">
        <v>-186</v>
      </c>
      <c r="F17" s="169"/>
      <c r="G17" s="169"/>
      <c r="H17" s="169"/>
      <c r="I17" s="169"/>
    </row>
    <row r="18" spans="1:9">
      <c r="A18" s="46" t="s">
        <v>453</v>
      </c>
      <c r="B18" s="233" t="s">
        <v>423</v>
      </c>
      <c r="C18" s="169">
        <v>31</v>
      </c>
      <c r="D18" s="169"/>
      <c r="E18" s="169">
        <v>-153</v>
      </c>
      <c r="F18" s="169"/>
      <c r="G18" s="169"/>
      <c r="H18" s="169"/>
      <c r="I18" s="169"/>
    </row>
    <row r="19" spans="1:9">
      <c r="A19" s="46" t="s">
        <v>454</v>
      </c>
      <c r="B19" s="233" t="s">
        <v>455</v>
      </c>
      <c r="C19" s="169">
        <v>-86</v>
      </c>
      <c r="D19" s="169"/>
      <c r="E19" s="169">
        <v>12</v>
      </c>
      <c r="F19" s="169"/>
      <c r="G19" s="169"/>
      <c r="H19" s="169"/>
      <c r="I19" s="169"/>
    </row>
    <row r="20" spans="1:9">
      <c r="A20" s="46" t="s">
        <v>421</v>
      </c>
      <c r="B20" s="233" t="s">
        <v>456</v>
      </c>
      <c r="C20" s="169"/>
      <c r="D20" s="169"/>
      <c r="E20" s="169"/>
      <c r="F20" s="169"/>
      <c r="G20" s="169"/>
      <c r="H20" s="169"/>
      <c r="I20" s="169"/>
    </row>
    <row r="21" spans="1:9" ht="37.5">
      <c r="A21" s="46" t="s">
        <v>200</v>
      </c>
      <c r="B21" s="6">
        <v>3060</v>
      </c>
      <c r="C21" s="169">
        <f t="shared" ref="C21" si="3">SUM(C22:C24)</f>
        <v>843</v>
      </c>
      <c r="D21" s="169"/>
      <c r="E21" s="169">
        <f>E22+E23+E24</f>
        <v>-260</v>
      </c>
      <c r="F21" s="169"/>
      <c r="G21" s="169"/>
      <c r="H21" s="169"/>
      <c r="I21" s="169"/>
    </row>
    <row r="22" spans="1:9">
      <c r="A22" s="46" t="s">
        <v>459</v>
      </c>
      <c r="B22" s="6" t="s">
        <v>424</v>
      </c>
      <c r="C22" s="169">
        <v>529</v>
      </c>
      <c r="D22" s="169"/>
      <c r="E22" s="169">
        <v>-294</v>
      </c>
      <c r="F22" s="169"/>
      <c r="G22" s="169"/>
      <c r="H22" s="169"/>
      <c r="I22" s="169"/>
    </row>
    <row r="23" spans="1:9">
      <c r="A23" s="46" t="s">
        <v>460</v>
      </c>
      <c r="B23" s="6" t="s">
        <v>425</v>
      </c>
      <c r="C23" s="169">
        <v>359</v>
      </c>
      <c r="D23" s="169"/>
      <c r="E23" s="169">
        <v>-35</v>
      </c>
      <c r="F23" s="169"/>
      <c r="G23" s="169"/>
      <c r="H23" s="169"/>
      <c r="I23" s="169"/>
    </row>
    <row r="24" spans="1:9">
      <c r="A24" s="46" t="s">
        <v>461</v>
      </c>
      <c r="B24" s="233" t="s">
        <v>462</v>
      </c>
      <c r="C24" s="169">
        <v>-45</v>
      </c>
      <c r="D24" s="169"/>
      <c r="E24" s="169">
        <v>69</v>
      </c>
      <c r="F24" s="169"/>
      <c r="G24" s="169"/>
      <c r="H24" s="169"/>
      <c r="I24" s="169"/>
    </row>
    <row r="25" spans="1:9" ht="20.100000000000001" customHeight="1">
      <c r="A25" s="58" t="s">
        <v>193</v>
      </c>
      <c r="B25" s="91">
        <v>3070</v>
      </c>
      <c r="C25" s="171">
        <f>C15+C16+C21</f>
        <v>609</v>
      </c>
      <c r="D25" s="171">
        <f t="shared" ref="D25:I25" si="4">D15+D16+D21</f>
        <v>0</v>
      </c>
      <c r="E25" s="171">
        <f t="shared" si="4"/>
        <v>471</v>
      </c>
      <c r="F25" s="171">
        <f t="shared" si="4"/>
        <v>140</v>
      </c>
      <c r="G25" s="171">
        <f t="shared" si="4"/>
        <v>935</v>
      </c>
      <c r="H25" s="171">
        <f t="shared" si="4"/>
        <v>253</v>
      </c>
      <c r="I25" s="171">
        <f t="shared" si="4"/>
        <v>345</v>
      </c>
    </row>
    <row r="26" spans="1:9" ht="20.100000000000001" customHeight="1">
      <c r="A26" s="46" t="s">
        <v>194</v>
      </c>
      <c r="B26" s="6">
        <v>3080</v>
      </c>
      <c r="C26" s="170">
        <f>'I. Фін результат'!C76</f>
        <v>12.959999999999999</v>
      </c>
      <c r="D26" s="170"/>
      <c r="E26" s="170">
        <f>'I. Фін результат'!E76</f>
        <v>98.28</v>
      </c>
      <c r="F26" s="170">
        <f>'I. Фін результат'!F76</f>
        <v>0</v>
      </c>
      <c r="G26" s="170">
        <f>'I. Фін результат'!G76</f>
        <v>0</v>
      </c>
      <c r="H26" s="170">
        <f>'I. Фін результат'!H76</f>
        <v>0</v>
      </c>
      <c r="I26" s="170">
        <f>'I. Фін результат'!I76</f>
        <v>14</v>
      </c>
    </row>
    <row r="27" spans="1:9" ht="37.5">
      <c r="A27" s="10" t="s">
        <v>170</v>
      </c>
      <c r="B27" s="91">
        <v>3090</v>
      </c>
      <c r="C27" s="171">
        <f>C25-C26</f>
        <v>596.04</v>
      </c>
      <c r="D27" s="171">
        <f t="shared" ref="D27:I27" si="5">D25-D26</f>
        <v>0</v>
      </c>
      <c r="E27" s="171">
        <f t="shared" si="5"/>
        <v>372.72</v>
      </c>
      <c r="F27" s="171">
        <f t="shared" si="5"/>
        <v>140</v>
      </c>
      <c r="G27" s="171">
        <f t="shared" si="5"/>
        <v>935</v>
      </c>
      <c r="H27" s="171">
        <f t="shared" si="5"/>
        <v>253</v>
      </c>
      <c r="I27" s="171">
        <f t="shared" si="5"/>
        <v>331</v>
      </c>
    </row>
    <row r="28" spans="1:9" ht="20.100000000000001" customHeight="1">
      <c r="A28" s="320" t="s">
        <v>172</v>
      </c>
      <c r="B28" s="321"/>
      <c r="C28" s="321"/>
      <c r="D28" s="321"/>
      <c r="E28" s="321"/>
      <c r="F28" s="321"/>
      <c r="G28" s="321"/>
      <c r="H28" s="321"/>
      <c r="I28" s="322"/>
    </row>
    <row r="29" spans="1:9" ht="20.100000000000001" customHeight="1">
      <c r="A29" s="58" t="s">
        <v>287</v>
      </c>
      <c r="B29" s="9"/>
      <c r="C29" s="169"/>
      <c r="D29" s="169"/>
      <c r="E29" s="169"/>
      <c r="F29" s="169"/>
      <c r="G29" s="169"/>
      <c r="H29" s="169"/>
      <c r="I29" s="169"/>
    </row>
    <row r="30" spans="1:9" ht="20.100000000000001" customHeight="1">
      <c r="A30" s="8" t="s">
        <v>32</v>
      </c>
      <c r="B30" s="9">
        <v>3200</v>
      </c>
      <c r="C30" s="169"/>
      <c r="D30" s="169"/>
      <c r="E30" s="169"/>
      <c r="F30" s="169"/>
      <c r="G30" s="169"/>
      <c r="H30" s="169"/>
      <c r="I30" s="169"/>
    </row>
    <row r="31" spans="1:9" ht="20.100000000000001" customHeight="1">
      <c r="A31" s="8" t="s">
        <v>33</v>
      </c>
      <c r="B31" s="9">
        <v>3210</v>
      </c>
      <c r="C31" s="169"/>
      <c r="D31" s="169"/>
      <c r="E31" s="169"/>
      <c r="F31" s="169"/>
      <c r="G31" s="169"/>
      <c r="H31" s="169"/>
      <c r="I31" s="169"/>
    </row>
    <row r="32" spans="1:9" ht="20.100000000000001" customHeight="1">
      <c r="A32" s="8" t="s">
        <v>56</v>
      </c>
      <c r="B32" s="9">
        <v>3220</v>
      </c>
      <c r="C32" s="169"/>
      <c r="D32" s="169"/>
      <c r="E32" s="169"/>
      <c r="F32" s="169"/>
      <c r="G32" s="169"/>
      <c r="H32" s="169"/>
      <c r="I32" s="169"/>
    </row>
    <row r="33" spans="1:9" ht="20.100000000000001" customHeight="1">
      <c r="A33" s="46" t="s">
        <v>176</v>
      </c>
      <c r="B33" s="9"/>
      <c r="C33" s="169"/>
      <c r="D33" s="169"/>
      <c r="E33" s="169"/>
      <c r="F33" s="169"/>
      <c r="G33" s="169"/>
      <c r="H33" s="169"/>
      <c r="I33" s="169"/>
    </row>
    <row r="34" spans="1:9" ht="20.100000000000001" customHeight="1">
      <c r="A34" s="8" t="s">
        <v>177</v>
      </c>
      <c r="B34" s="9">
        <v>3230</v>
      </c>
      <c r="C34" s="169"/>
      <c r="D34" s="169"/>
      <c r="E34" s="169"/>
      <c r="F34" s="169"/>
      <c r="G34" s="169"/>
      <c r="H34" s="169"/>
      <c r="I34" s="169"/>
    </row>
    <row r="35" spans="1:9" ht="20.100000000000001" customHeight="1">
      <c r="A35" s="8" t="s">
        <v>178</v>
      </c>
      <c r="B35" s="9">
        <v>3240</v>
      </c>
      <c r="C35" s="169"/>
      <c r="D35" s="169"/>
      <c r="E35" s="169"/>
      <c r="F35" s="169"/>
      <c r="G35" s="169"/>
      <c r="H35" s="169"/>
      <c r="I35" s="169"/>
    </row>
    <row r="36" spans="1:9" ht="20.100000000000001" customHeight="1">
      <c r="A36" s="46" t="s">
        <v>179</v>
      </c>
      <c r="B36" s="9">
        <v>3250</v>
      </c>
      <c r="C36" s="169"/>
      <c r="D36" s="169"/>
      <c r="E36" s="169"/>
      <c r="F36" s="169"/>
      <c r="G36" s="169"/>
      <c r="H36" s="169"/>
      <c r="I36" s="169"/>
    </row>
    <row r="37" spans="1:9" ht="20.100000000000001" customHeight="1">
      <c r="A37" s="8" t="s">
        <v>131</v>
      </c>
      <c r="B37" s="9">
        <v>3260</v>
      </c>
      <c r="C37" s="169"/>
      <c r="D37" s="169"/>
      <c r="E37" s="169"/>
      <c r="F37" s="169"/>
      <c r="G37" s="169"/>
      <c r="H37" s="169"/>
      <c r="I37" s="169"/>
    </row>
    <row r="38" spans="1:9" ht="20.100000000000001" customHeight="1">
      <c r="A38" s="58" t="s">
        <v>289</v>
      </c>
      <c r="B38" s="9"/>
      <c r="C38" s="169"/>
      <c r="D38" s="169"/>
      <c r="E38" s="169"/>
      <c r="F38" s="169"/>
      <c r="G38" s="169"/>
      <c r="H38" s="169"/>
      <c r="I38" s="169"/>
    </row>
    <row r="39" spans="1:9" ht="37.5">
      <c r="A39" s="8" t="s">
        <v>132</v>
      </c>
      <c r="B39" s="9">
        <v>3270</v>
      </c>
      <c r="C39" s="169">
        <f>C40</f>
        <v>261</v>
      </c>
      <c r="D39" s="169"/>
      <c r="E39" s="169">
        <v>984</v>
      </c>
      <c r="F39" s="169"/>
      <c r="G39" s="169"/>
      <c r="H39" s="169"/>
      <c r="I39" s="169"/>
    </row>
    <row r="40" spans="1:9" ht="37.5">
      <c r="A40" s="8" t="s">
        <v>465</v>
      </c>
      <c r="B40" s="233" t="s">
        <v>463</v>
      </c>
      <c r="C40" s="169">
        <v>261</v>
      </c>
      <c r="D40" s="169"/>
      <c r="E40" s="169">
        <v>984</v>
      </c>
      <c r="F40" s="169"/>
      <c r="G40" s="169"/>
      <c r="H40" s="169"/>
      <c r="I40" s="169"/>
    </row>
    <row r="41" spans="1:9">
      <c r="A41" s="8" t="s">
        <v>466</v>
      </c>
      <c r="B41" s="233" t="s">
        <v>464</v>
      </c>
      <c r="C41" s="169"/>
      <c r="D41" s="169"/>
      <c r="E41" s="169"/>
      <c r="F41" s="169"/>
      <c r="G41" s="169"/>
      <c r="H41" s="169"/>
      <c r="I41" s="169"/>
    </row>
    <row r="42" spans="1:9" ht="20.100000000000001" customHeight="1">
      <c r="A42" s="8" t="s">
        <v>133</v>
      </c>
      <c r="B42" s="9">
        <v>3280</v>
      </c>
      <c r="C42" s="169"/>
      <c r="D42" s="169"/>
      <c r="E42" s="169"/>
      <c r="F42" s="169"/>
      <c r="G42" s="169"/>
      <c r="H42" s="169"/>
      <c r="I42" s="169"/>
    </row>
    <row r="43" spans="1:9" ht="37.5">
      <c r="A43" s="8" t="s">
        <v>134</v>
      </c>
      <c r="B43" s="9">
        <v>3290</v>
      </c>
      <c r="C43" s="169"/>
      <c r="D43" s="169"/>
      <c r="E43" s="169"/>
      <c r="F43" s="169"/>
      <c r="G43" s="169"/>
      <c r="H43" s="169"/>
      <c r="I43" s="169"/>
    </row>
    <row r="44" spans="1:9" ht="20.100000000000001" customHeight="1">
      <c r="A44" s="8" t="s">
        <v>57</v>
      </c>
      <c r="B44" s="9">
        <v>3300</v>
      </c>
      <c r="C44" s="169"/>
      <c r="D44" s="169"/>
      <c r="E44" s="169"/>
      <c r="F44" s="169"/>
      <c r="G44" s="169"/>
      <c r="H44" s="169"/>
      <c r="I44" s="169"/>
    </row>
    <row r="45" spans="1:9" ht="20.100000000000001" customHeight="1">
      <c r="A45" s="8" t="s">
        <v>126</v>
      </c>
      <c r="B45" s="9">
        <v>3310</v>
      </c>
      <c r="C45" s="169"/>
      <c r="D45" s="169"/>
      <c r="E45" s="169">
        <v>7745</v>
      </c>
      <c r="F45" s="169">
        <v>5000</v>
      </c>
      <c r="G45" s="169">
        <v>7000</v>
      </c>
      <c r="H45" s="169">
        <v>7000</v>
      </c>
      <c r="I45" s="169">
        <v>7000</v>
      </c>
    </row>
    <row r="46" spans="1:9" ht="20.100000000000001" customHeight="1">
      <c r="A46" s="8" t="s">
        <v>415</v>
      </c>
      <c r="B46" s="6" t="s">
        <v>426</v>
      </c>
      <c r="C46" s="169"/>
      <c r="D46" s="169"/>
      <c r="E46" s="169">
        <v>7745</v>
      </c>
      <c r="F46" s="169">
        <v>5000</v>
      </c>
      <c r="G46" s="169">
        <v>7000</v>
      </c>
      <c r="H46" s="169">
        <v>7000</v>
      </c>
      <c r="I46" s="169">
        <v>7000</v>
      </c>
    </row>
    <row r="47" spans="1:9" ht="37.5">
      <c r="A47" s="58" t="s">
        <v>173</v>
      </c>
      <c r="B47" s="11">
        <v>3320</v>
      </c>
      <c r="C47" s="171">
        <f>(C30+C31+C32+C34+C35+C36+C37)-(C39+C42+C43+C44+C45)</f>
        <v>-261</v>
      </c>
      <c r="D47" s="171">
        <f t="shared" ref="D47:I47" si="6">(D30+D31+D32+D34+D35+D36+D37)-(D39+D42+D43+D44+D45)</f>
        <v>0</v>
      </c>
      <c r="E47" s="171">
        <f t="shared" si="6"/>
        <v>-8729</v>
      </c>
      <c r="F47" s="171">
        <f t="shared" si="6"/>
        <v>-5000</v>
      </c>
      <c r="G47" s="171">
        <f t="shared" si="6"/>
        <v>-7000</v>
      </c>
      <c r="H47" s="171">
        <f t="shared" si="6"/>
        <v>-7000</v>
      </c>
      <c r="I47" s="171">
        <f t="shared" si="6"/>
        <v>-7000</v>
      </c>
    </row>
    <row r="48" spans="1:9" ht="20.100000000000001" customHeight="1">
      <c r="A48" s="320" t="s">
        <v>174</v>
      </c>
      <c r="B48" s="321"/>
      <c r="C48" s="321"/>
      <c r="D48" s="321"/>
      <c r="E48" s="321"/>
      <c r="F48" s="321"/>
      <c r="G48" s="321"/>
      <c r="H48" s="321"/>
      <c r="I48" s="322"/>
    </row>
    <row r="49" spans="1:9" ht="20.100000000000001" customHeight="1">
      <c r="A49" s="58" t="s">
        <v>288</v>
      </c>
      <c r="B49" s="9"/>
      <c r="C49" s="169"/>
      <c r="D49" s="169"/>
      <c r="E49" s="169"/>
      <c r="F49" s="169"/>
      <c r="G49" s="169"/>
      <c r="H49" s="169"/>
      <c r="I49" s="169"/>
    </row>
    <row r="50" spans="1:9" ht="20.100000000000001" customHeight="1">
      <c r="A50" s="46" t="s">
        <v>180</v>
      </c>
      <c r="B50" s="9">
        <v>3400</v>
      </c>
      <c r="C50" s="169"/>
      <c r="D50" s="169"/>
      <c r="E50" s="169"/>
      <c r="F50" s="169"/>
      <c r="G50" s="169"/>
      <c r="H50" s="169"/>
      <c r="I50" s="169"/>
    </row>
    <row r="51" spans="1:9" ht="37.5">
      <c r="A51" s="8" t="s">
        <v>100</v>
      </c>
      <c r="C51" s="169"/>
      <c r="D51" s="169"/>
      <c r="E51" s="169"/>
      <c r="F51" s="169"/>
      <c r="G51" s="169"/>
      <c r="H51" s="169"/>
      <c r="I51" s="169"/>
    </row>
    <row r="52" spans="1:9" ht="20.100000000000001" customHeight="1">
      <c r="A52" s="8" t="s">
        <v>99</v>
      </c>
      <c r="B52" s="9">
        <v>3410</v>
      </c>
      <c r="C52" s="169"/>
      <c r="D52" s="169"/>
      <c r="E52" s="169"/>
      <c r="F52" s="169"/>
      <c r="G52" s="169"/>
      <c r="H52" s="169"/>
      <c r="I52" s="169"/>
    </row>
    <row r="53" spans="1:9" ht="20.100000000000001" customHeight="1">
      <c r="A53" s="8" t="s">
        <v>104</v>
      </c>
      <c r="B53" s="6">
        <v>3420</v>
      </c>
      <c r="C53" s="169"/>
      <c r="D53" s="169"/>
      <c r="E53" s="169"/>
      <c r="F53" s="169"/>
      <c r="G53" s="169"/>
      <c r="H53" s="169"/>
      <c r="I53" s="169"/>
    </row>
    <row r="54" spans="1:9" ht="20.100000000000001" customHeight="1">
      <c r="A54" s="8" t="s">
        <v>135</v>
      </c>
      <c r="B54" s="9">
        <v>3430</v>
      </c>
      <c r="C54" s="169"/>
      <c r="D54" s="169"/>
      <c r="E54" s="169"/>
      <c r="F54" s="169"/>
      <c r="G54" s="169"/>
      <c r="H54" s="169"/>
      <c r="I54" s="169"/>
    </row>
    <row r="55" spans="1:9" ht="37.5">
      <c r="A55" s="8" t="s">
        <v>102</v>
      </c>
      <c r="B55" s="9"/>
      <c r="C55" s="169"/>
      <c r="D55" s="169"/>
      <c r="E55" s="169"/>
      <c r="F55" s="169"/>
      <c r="G55" s="169"/>
      <c r="H55" s="169"/>
      <c r="I55" s="169"/>
    </row>
    <row r="56" spans="1:9" ht="20.100000000000001" customHeight="1">
      <c r="A56" s="8" t="s">
        <v>99</v>
      </c>
      <c r="B56" s="6">
        <v>3440</v>
      </c>
      <c r="C56" s="169"/>
      <c r="D56" s="169"/>
      <c r="E56" s="169"/>
      <c r="F56" s="169"/>
      <c r="G56" s="169"/>
      <c r="H56" s="169"/>
      <c r="I56" s="169"/>
    </row>
    <row r="57" spans="1:9" ht="20.100000000000001" customHeight="1">
      <c r="A57" s="8" t="s">
        <v>104</v>
      </c>
      <c r="B57" s="6">
        <v>3450</v>
      </c>
      <c r="C57" s="169"/>
      <c r="D57" s="169"/>
      <c r="E57" s="169"/>
      <c r="F57" s="169"/>
      <c r="G57" s="169"/>
      <c r="H57" s="169"/>
      <c r="I57" s="169"/>
    </row>
    <row r="58" spans="1:9" ht="20.100000000000001" customHeight="1">
      <c r="A58" s="8" t="s">
        <v>135</v>
      </c>
      <c r="B58" s="6">
        <v>3460</v>
      </c>
      <c r="C58" s="169"/>
      <c r="D58" s="169"/>
      <c r="E58" s="169"/>
      <c r="F58" s="169"/>
      <c r="G58" s="169"/>
      <c r="H58" s="169"/>
      <c r="I58" s="169"/>
    </row>
    <row r="59" spans="1:9" ht="20.100000000000001" customHeight="1">
      <c r="A59" s="8" t="s">
        <v>130</v>
      </c>
      <c r="B59" s="6">
        <v>3470</v>
      </c>
      <c r="C59" s="169"/>
      <c r="D59" s="169"/>
      <c r="E59" s="169">
        <v>8729</v>
      </c>
      <c r="F59" s="169">
        <v>5000</v>
      </c>
      <c r="G59" s="169">
        <v>7000</v>
      </c>
      <c r="H59" s="169">
        <v>7000</v>
      </c>
      <c r="I59" s="169">
        <v>7000</v>
      </c>
    </row>
    <row r="60" spans="1:9" ht="20.100000000000001" customHeight="1">
      <c r="A60" s="8" t="s">
        <v>430</v>
      </c>
      <c r="B60" s="6" t="s">
        <v>429</v>
      </c>
      <c r="C60" s="169"/>
      <c r="D60" s="169"/>
      <c r="E60" s="169">
        <v>8729</v>
      </c>
      <c r="F60" s="169">
        <v>5000</v>
      </c>
      <c r="G60" s="169">
        <v>7000</v>
      </c>
      <c r="H60" s="169">
        <v>7000</v>
      </c>
      <c r="I60" s="169">
        <v>7000</v>
      </c>
    </row>
    <row r="61" spans="1:9" ht="20.100000000000001" customHeight="1">
      <c r="A61" s="8" t="s">
        <v>131</v>
      </c>
      <c r="B61" s="6">
        <v>3480</v>
      </c>
      <c r="C61" s="169"/>
      <c r="D61" s="169"/>
      <c r="E61" s="169"/>
      <c r="F61" s="169"/>
      <c r="G61" s="169"/>
      <c r="H61" s="169"/>
      <c r="I61" s="169"/>
    </row>
    <row r="62" spans="1:9" ht="20.100000000000001" customHeight="1">
      <c r="A62" s="8" t="s">
        <v>419</v>
      </c>
      <c r="B62" s="6" t="s">
        <v>420</v>
      </c>
      <c r="C62" s="169"/>
      <c r="D62" s="169"/>
      <c r="E62" s="169"/>
      <c r="F62" s="169"/>
      <c r="G62" s="169"/>
      <c r="H62" s="169"/>
      <c r="I62" s="169"/>
    </row>
    <row r="63" spans="1:9" ht="20.100000000000001" customHeight="1">
      <c r="A63" s="58" t="s">
        <v>289</v>
      </c>
      <c r="B63" s="9"/>
      <c r="C63" s="169"/>
      <c r="D63" s="169"/>
      <c r="E63" s="169"/>
      <c r="F63" s="169"/>
      <c r="G63" s="169"/>
      <c r="H63" s="169"/>
      <c r="I63" s="169"/>
    </row>
    <row r="64" spans="1:9" ht="37.5">
      <c r="A64" s="8" t="s">
        <v>370</v>
      </c>
      <c r="B64" s="9">
        <v>3490</v>
      </c>
      <c r="C64" s="237">
        <f>'ІІ. Розр. з бюджетом'!C9</f>
        <v>0</v>
      </c>
      <c r="D64" s="170">
        <f>'ІІ. Розр. з бюджетом'!D9</f>
        <v>0</v>
      </c>
      <c r="E64" s="170">
        <f>'ІІ. Розр. з бюджетом'!E9</f>
        <v>67</v>
      </c>
      <c r="F64" s="170">
        <f>'ІІ. Розр. з бюджетом'!F9</f>
        <v>0</v>
      </c>
      <c r="G64" s="170">
        <f>'ІІ. Розр. з бюджетом'!G9</f>
        <v>0</v>
      </c>
      <c r="H64" s="170">
        <f>'ІІ. Розр. з бюджетом'!H9</f>
        <v>0</v>
      </c>
      <c r="I64" s="170">
        <v>14</v>
      </c>
    </row>
    <row r="65" spans="1:9" ht="112.5">
      <c r="A65" s="8" t="s">
        <v>371</v>
      </c>
      <c r="B65" s="9">
        <v>3500</v>
      </c>
      <c r="C65" s="237">
        <f>'ІІ. Розр. з бюджетом'!C10</f>
        <v>0</v>
      </c>
      <c r="D65" s="170">
        <f>'ІІ. Розр. з бюджетом'!D10</f>
        <v>0</v>
      </c>
      <c r="E65" s="170">
        <f>'ІІ. Розр. з бюджетом'!E10</f>
        <v>228</v>
      </c>
      <c r="F65" s="170">
        <f>'ІІ. Розр. з бюджетом'!F10</f>
        <v>0</v>
      </c>
      <c r="G65" s="170">
        <f>'ІІ. Розр. з бюджетом'!G10</f>
        <v>0</v>
      </c>
      <c r="H65" s="170">
        <f>'ІІ. Розр. з бюджетом'!H10</f>
        <v>0</v>
      </c>
      <c r="I65" s="170">
        <f>'ІІ. Розр. з бюджетом'!I10</f>
        <v>32</v>
      </c>
    </row>
    <row r="66" spans="1:9" ht="37.5">
      <c r="A66" s="8" t="s">
        <v>103</v>
      </c>
      <c r="B66" s="9"/>
      <c r="C66" s="169"/>
      <c r="D66" s="169"/>
      <c r="E66" s="169"/>
      <c r="F66" s="169"/>
      <c r="G66" s="169"/>
      <c r="H66" s="169"/>
      <c r="I66" s="169"/>
    </row>
    <row r="67" spans="1:9" ht="20.100000000000001" customHeight="1">
      <c r="A67" s="8" t="s">
        <v>99</v>
      </c>
      <c r="B67" s="6">
        <v>3510</v>
      </c>
      <c r="C67" s="169"/>
      <c r="D67" s="169"/>
      <c r="E67" s="169"/>
      <c r="F67" s="169"/>
      <c r="G67" s="169"/>
      <c r="H67" s="169"/>
      <c r="I67" s="169"/>
    </row>
    <row r="68" spans="1:9" ht="20.100000000000001" customHeight="1">
      <c r="A68" s="8" t="s">
        <v>104</v>
      </c>
      <c r="B68" s="6">
        <v>3520</v>
      </c>
      <c r="C68" s="169"/>
      <c r="D68" s="169"/>
      <c r="E68" s="169"/>
      <c r="F68" s="169"/>
      <c r="G68" s="169"/>
      <c r="H68" s="169"/>
      <c r="I68" s="169"/>
    </row>
    <row r="69" spans="1:9" ht="20.100000000000001" customHeight="1">
      <c r="A69" s="8" t="s">
        <v>135</v>
      </c>
      <c r="B69" s="6">
        <v>3530</v>
      </c>
      <c r="C69" s="169"/>
      <c r="D69" s="169"/>
      <c r="E69" s="169"/>
      <c r="F69" s="169"/>
      <c r="G69" s="169"/>
      <c r="H69" s="169"/>
      <c r="I69" s="169"/>
    </row>
    <row r="70" spans="1:9" ht="37.5">
      <c r="A70" s="8" t="s">
        <v>101</v>
      </c>
      <c r="B70" s="9"/>
      <c r="C70" s="169"/>
      <c r="D70" s="169"/>
      <c r="E70" s="169"/>
      <c r="F70" s="169"/>
      <c r="G70" s="169"/>
      <c r="H70" s="169"/>
      <c r="I70" s="169"/>
    </row>
    <row r="71" spans="1:9" ht="20.100000000000001" customHeight="1">
      <c r="A71" s="8" t="s">
        <v>99</v>
      </c>
      <c r="B71" s="6">
        <v>3540</v>
      </c>
      <c r="C71" s="169"/>
      <c r="D71" s="169"/>
      <c r="E71" s="169"/>
      <c r="F71" s="169"/>
      <c r="G71" s="169"/>
      <c r="H71" s="169"/>
      <c r="I71" s="169"/>
    </row>
    <row r="72" spans="1:9" ht="20.100000000000001" customHeight="1">
      <c r="A72" s="8" t="s">
        <v>104</v>
      </c>
      <c r="B72" s="6">
        <v>3550</v>
      </c>
      <c r="C72" s="169"/>
      <c r="D72" s="169"/>
      <c r="E72" s="169"/>
      <c r="F72" s="169"/>
      <c r="G72" s="169"/>
      <c r="H72" s="169"/>
      <c r="I72" s="169"/>
    </row>
    <row r="73" spans="1:9" ht="20.100000000000001" customHeight="1">
      <c r="A73" s="8" t="s">
        <v>135</v>
      </c>
      <c r="B73" s="6">
        <v>3560</v>
      </c>
      <c r="C73" s="169"/>
      <c r="D73" s="169"/>
      <c r="E73" s="169"/>
      <c r="F73" s="169"/>
      <c r="G73" s="169"/>
      <c r="H73" s="169"/>
      <c r="I73" s="169"/>
    </row>
    <row r="74" spans="1:9" ht="20.100000000000001" customHeight="1">
      <c r="A74" s="8" t="s">
        <v>126</v>
      </c>
      <c r="B74" s="6">
        <v>3570</v>
      </c>
      <c r="C74" s="169"/>
      <c r="D74" s="169"/>
      <c r="E74" s="169"/>
      <c r="F74" s="169"/>
      <c r="G74" s="169"/>
      <c r="H74" s="169"/>
      <c r="I74" s="169"/>
    </row>
    <row r="75" spans="1:9" ht="37.5">
      <c r="A75" s="58" t="s">
        <v>175</v>
      </c>
      <c r="B75" s="91">
        <v>3580</v>
      </c>
      <c r="C75" s="171">
        <f t="shared" ref="C75:I75" si="7">(C50+C52+C53+C54+C56+C57+C58+C59+C61)-(C64+C65+C67+C68+C69+C71+C72+C73+C74)</f>
        <v>0</v>
      </c>
      <c r="D75" s="171">
        <f t="shared" si="7"/>
        <v>0</v>
      </c>
      <c r="E75" s="171">
        <f t="shared" si="7"/>
        <v>8434</v>
      </c>
      <c r="F75" s="171">
        <f t="shared" si="7"/>
        <v>5000</v>
      </c>
      <c r="G75" s="171">
        <f t="shared" si="7"/>
        <v>7000</v>
      </c>
      <c r="H75" s="171">
        <f t="shared" si="7"/>
        <v>7000</v>
      </c>
      <c r="I75" s="171">
        <f t="shared" si="7"/>
        <v>6954</v>
      </c>
    </row>
    <row r="76" spans="1:9" s="15" customFormat="1" ht="20.100000000000001" customHeight="1">
      <c r="A76" s="8" t="s">
        <v>34</v>
      </c>
      <c r="B76" s="6"/>
      <c r="C76" s="174"/>
      <c r="D76" s="174"/>
      <c r="E76" s="174"/>
      <c r="F76" s="174"/>
      <c r="G76" s="174"/>
      <c r="H76" s="174"/>
      <c r="I76" s="174"/>
    </row>
    <row r="77" spans="1:9" s="15" customFormat="1" ht="20.100000000000001" customHeight="1">
      <c r="A77" s="10" t="s">
        <v>35</v>
      </c>
      <c r="B77" s="6">
        <v>3600</v>
      </c>
      <c r="C77" s="169">
        <v>164</v>
      </c>
      <c r="D77" s="169">
        <v>0</v>
      </c>
      <c r="E77" s="170">
        <f>C79</f>
        <v>499.03999999999996</v>
      </c>
      <c r="F77" s="170">
        <f>E79</f>
        <v>576.76000000000022</v>
      </c>
      <c r="G77" s="170">
        <f>E79</f>
        <v>576.76000000000022</v>
      </c>
      <c r="H77" s="170">
        <f>E79</f>
        <v>576.76000000000022</v>
      </c>
      <c r="I77" s="170">
        <f>E79</f>
        <v>576.76000000000022</v>
      </c>
    </row>
    <row r="78" spans="1:9" s="15" customFormat="1" ht="37.5">
      <c r="A78" s="72" t="s">
        <v>184</v>
      </c>
      <c r="B78" s="6">
        <v>3610</v>
      </c>
      <c r="C78" s="169"/>
      <c r="D78" s="169"/>
      <c r="E78" s="169"/>
      <c r="F78" s="169"/>
      <c r="G78" s="169"/>
      <c r="H78" s="169"/>
      <c r="I78" s="169"/>
    </row>
    <row r="79" spans="1:9" s="15" customFormat="1" ht="20.100000000000001" customHeight="1">
      <c r="A79" s="10" t="s">
        <v>58</v>
      </c>
      <c r="B79" s="6">
        <v>3620</v>
      </c>
      <c r="C79" s="171">
        <f t="shared" ref="C79:I79" si="8">C77+C27+C47+C75</f>
        <v>499.03999999999996</v>
      </c>
      <c r="D79" s="171">
        <f t="shared" si="8"/>
        <v>0</v>
      </c>
      <c r="E79" s="171">
        <f t="shared" si="8"/>
        <v>576.76000000000022</v>
      </c>
      <c r="F79" s="171">
        <f t="shared" si="8"/>
        <v>716.76000000000022</v>
      </c>
      <c r="G79" s="171">
        <f t="shared" si="8"/>
        <v>1511.7600000000002</v>
      </c>
      <c r="H79" s="171">
        <f t="shared" si="8"/>
        <v>829.76000000000022</v>
      </c>
      <c r="I79" s="171">
        <f t="shared" si="8"/>
        <v>861.76000000000022</v>
      </c>
    </row>
    <row r="80" spans="1:9" s="15" customFormat="1" ht="20.100000000000001" customHeight="1">
      <c r="A80" s="10" t="s">
        <v>36</v>
      </c>
      <c r="B80" s="6">
        <v>3630</v>
      </c>
      <c r="C80" s="171">
        <f>C79-C77</f>
        <v>335.03999999999996</v>
      </c>
      <c r="D80" s="171">
        <f t="shared" ref="D80:I80" si="9">D79-D77</f>
        <v>0</v>
      </c>
      <c r="E80" s="171">
        <f t="shared" si="9"/>
        <v>77.720000000000255</v>
      </c>
      <c r="F80" s="171">
        <f t="shared" si="9"/>
        <v>140</v>
      </c>
      <c r="G80" s="171">
        <f t="shared" si="9"/>
        <v>935</v>
      </c>
      <c r="H80" s="171">
        <f t="shared" si="9"/>
        <v>253</v>
      </c>
      <c r="I80" s="171">
        <f t="shared" si="9"/>
        <v>285</v>
      </c>
    </row>
    <row r="81" spans="1:9" s="15" customFormat="1" ht="20.100000000000001" customHeight="1">
      <c r="A81" s="140"/>
      <c r="B81" s="148"/>
      <c r="H81" s="150"/>
      <c r="I81" s="150"/>
    </row>
    <row r="82" spans="1:9" s="15" customFormat="1" ht="20.100000000000001" customHeight="1">
      <c r="A82" s="140"/>
      <c r="B82" s="148"/>
      <c r="H82" s="150"/>
      <c r="I82" s="150"/>
    </row>
    <row r="83" spans="1:9" s="15" customFormat="1" ht="20.100000000000001" customHeight="1">
      <c r="A83" s="140"/>
      <c r="B83" s="148"/>
      <c r="C83" s="149"/>
      <c r="D83" s="150"/>
      <c r="E83" s="150"/>
      <c r="F83" s="150"/>
      <c r="G83" s="150"/>
      <c r="H83" s="150"/>
      <c r="I83" s="150"/>
    </row>
    <row r="84" spans="1:9" s="2" customFormat="1">
      <c r="A84" s="175" t="s">
        <v>404</v>
      </c>
      <c r="B84" s="133"/>
      <c r="C84" s="323" t="s">
        <v>119</v>
      </c>
      <c r="D84" s="324"/>
      <c r="E84" s="324"/>
      <c r="F84" s="134"/>
      <c r="G84" s="314" t="s">
        <v>403</v>
      </c>
      <c r="H84" s="314"/>
      <c r="I84" s="314"/>
    </row>
    <row r="85" spans="1:9" ht="20.100000000000001" customHeight="1">
      <c r="A85" s="95" t="s">
        <v>380</v>
      </c>
      <c r="B85" s="108"/>
      <c r="C85" s="305" t="s">
        <v>84</v>
      </c>
      <c r="D85" s="305"/>
      <c r="E85" s="305"/>
      <c r="F85" s="135"/>
      <c r="G85" s="306" t="s">
        <v>447</v>
      </c>
      <c r="H85" s="306"/>
      <c r="I85" s="306"/>
    </row>
    <row r="86" spans="1:9">
      <c r="C86" s="4"/>
    </row>
    <row r="87" spans="1:9">
      <c r="C87" s="149">
        <v>59</v>
      </c>
      <c r="D87" s="150">
        <v>0</v>
      </c>
      <c r="E87" s="150">
        <v>164</v>
      </c>
      <c r="F87" s="150">
        <v>499</v>
      </c>
      <c r="G87" s="150">
        <v>499</v>
      </c>
    </row>
    <row r="88" spans="1:9">
      <c r="C88" s="149">
        <v>164</v>
      </c>
      <c r="D88" s="150">
        <v>423</v>
      </c>
      <c r="E88" s="150">
        <v>499</v>
      </c>
      <c r="F88" s="150">
        <v>186</v>
      </c>
      <c r="G88" s="150">
        <v>322</v>
      </c>
    </row>
    <row r="89" spans="1:9">
      <c r="C89" s="4"/>
    </row>
    <row r="90" spans="1:9">
      <c r="C90" s="4"/>
    </row>
    <row r="91" spans="1:9">
      <c r="C91" s="4"/>
    </row>
    <row r="92" spans="1:9">
      <c r="C92" s="4"/>
    </row>
    <row r="93" spans="1:9">
      <c r="C93" s="4"/>
    </row>
    <row r="94" spans="1:9">
      <c r="C94" s="4"/>
    </row>
    <row r="95" spans="1:9">
      <c r="C95" s="4"/>
    </row>
    <row r="96" spans="1:9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  <row r="110" spans="3:3">
      <c r="C110" s="4"/>
    </row>
    <row r="111" spans="3:3">
      <c r="C111" s="4"/>
    </row>
    <row r="112" spans="3:3">
      <c r="C112" s="4"/>
    </row>
    <row r="113" spans="3:3">
      <c r="C113" s="4"/>
    </row>
    <row r="114" spans="3:3">
      <c r="C114" s="4"/>
    </row>
    <row r="115" spans="3:3">
      <c r="C115" s="4"/>
    </row>
    <row r="116" spans="3:3">
      <c r="C116" s="4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 topLeftCell="A52">
      <selection activeCell="K53" sqref="K53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4">
    <mergeCell ref="C85:E85"/>
    <mergeCell ref="G85:I85"/>
    <mergeCell ref="A28:I28"/>
    <mergeCell ref="A6:I6"/>
    <mergeCell ref="A48:I48"/>
    <mergeCell ref="C84:E84"/>
    <mergeCell ref="G84:I84"/>
    <mergeCell ref="A1:I1"/>
    <mergeCell ref="A3:A4"/>
    <mergeCell ref="B3:B4"/>
    <mergeCell ref="C3:C4"/>
    <mergeCell ref="D3:D4"/>
    <mergeCell ref="E3:E4"/>
    <mergeCell ref="F3:I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view="pageBreakPreview" zoomScale="70" zoomScaleNormal="75" zoomScaleSheetLayoutView="70" workbookViewId="0">
      <selection activeCell="E8" sqref="E8:E11"/>
    </sheetView>
  </sheetViews>
  <sheetFormatPr defaultRowHeight="18.75"/>
  <cols>
    <col min="1" max="1" width="45" style="2" customWidth="1"/>
    <col min="2" max="2" width="11.7109375" style="25" customWidth="1"/>
    <col min="3" max="4" width="16" style="25" customWidth="1"/>
    <col min="5" max="5" width="15.28515625" style="25" customWidth="1"/>
    <col min="6" max="7" width="16.28515625" style="2" customWidth="1"/>
    <col min="8" max="8" width="15.85546875" style="2" customWidth="1"/>
    <col min="9" max="9" width="15.28515625" style="2" customWidth="1"/>
    <col min="10" max="10" width="9.5703125" style="2" customWidth="1"/>
    <col min="11" max="11" width="9.85546875" style="2" customWidth="1"/>
    <col min="12" max="16384" width="9.140625" style="2"/>
  </cols>
  <sheetData>
    <row r="1" spans="1:16">
      <c r="A1" s="325" t="s">
        <v>229</v>
      </c>
      <c r="B1" s="325"/>
      <c r="C1" s="325"/>
      <c r="D1" s="325"/>
      <c r="E1" s="325"/>
      <c r="F1" s="325"/>
      <c r="G1" s="325"/>
      <c r="H1" s="325"/>
      <c r="I1" s="325"/>
    </row>
    <row r="2" spans="1:16">
      <c r="A2" s="328"/>
      <c r="B2" s="328"/>
      <c r="C2" s="328"/>
      <c r="D2" s="328"/>
      <c r="E2" s="328"/>
      <c r="F2" s="328"/>
      <c r="G2" s="328"/>
      <c r="H2" s="328"/>
      <c r="I2" s="328"/>
    </row>
    <row r="3" spans="1:16" ht="43.5" customHeight="1">
      <c r="A3" s="311" t="s">
        <v>272</v>
      </c>
      <c r="B3" s="307" t="s">
        <v>18</v>
      </c>
      <c r="C3" s="307" t="s">
        <v>31</v>
      </c>
      <c r="D3" s="307" t="s">
        <v>39</v>
      </c>
      <c r="E3" s="319" t="s">
        <v>181</v>
      </c>
      <c r="F3" s="307" t="s">
        <v>364</v>
      </c>
      <c r="G3" s="307"/>
      <c r="H3" s="307"/>
      <c r="I3" s="307"/>
    </row>
    <row r="4" spans="1:16" ht="56.25" customHeight="1">
      <c r="A4" s="311"/>
      <c r="B4" s="307"/>
      <c r="C4" s="307"/>
      <c r="D4" s="307"/>
      <c r="E4" s="319"/>
      <c r="F4" s="13" t="s">
        <v>373</v>
      </c>
      <c r="G4" s="13" t="s">
        <v>366</v>
      </c>
      <c r="H4" s="13" t="s">
        <v>367</v>
      </c>
      <c r="I4" s="13" t="s">
        <v>86</v>
      </c>
    </row>
    <row r="5" spans="1:16" ht="18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6" s="5" customFormat="1" ht="42.75" customHeight="1">
      <c r="A6" s="8" t="s">
        <v>88</v>
      </c>
      <c r="B6" s="75">
        <v>4000</v>
      </c>
      <c r="C6" s="93">
        <f t="shared" ref="C6:I6" si="0">SUM(C7:C11)</f>
        <v>222</v>
      </c>
      <c r="D6" s="93">
        <f t="shared" si="0"/>
        <v>0</v>
      </c>
      <c r="E6" s="93">
        <f t="shared" si="0"/>
        <v>7274</v>
      </c>
      <c r="F6" s="170">
        <f t="shared" si="0"/>
        <v>4167</v>
      </c>
      <c r="G6" s="170">
        <f t="shared" si="0"/>
        <v>5833</v>
      </c>
      <c r="H6" s="170">
        <f t="shared" si="0"/>
        <v>5833</v>
      </c>
      <c r="I6" s="170">
        <f t="shared" si="0"/>
        <v>5833</v>
      </c>
    </row>
    <row r="7" spans="1:16" ht="20.100000000000001" customHeight="1">
      <c r="A7" s="8" t="s">
        <v>1</v>
      </c>
      <c r="B7" s="76" t="s">
        <v>239</v>
      </c>
      <c r="C7" s="107"/>
      <c r="D7" s="107"/>
      <c r="E7" s="107"/>
      <c r="F7" s="169"/>
      <c r="G7" s="169"/>
      <c r="H7" s="169"/>
      <c r="I7" s="169"/>
    </row>
    <row r="8" spans="1:16" ht="37.5">
      <c r="A8" s="8" t="s">
        <v>2</v>
      </c>
      <c r="B8" s="75">
        <v>4020</v>
      </c>
      <c r="C8" s="107">
        <v>222</v>
      </c>
      <c r="D8" s="107"/>
      <c r="E8" s="267">
        <v>820</v>
      </c>
      <c r="F8" s="169"/>
      <c r="G8" s="169"/>
      <c r="H8" s="169"/>
      <c r="I8" s="169"/>
      <c r="P8" s="21"/>
    </row>
    <row r="9" spans="1:16" ht="37.5">
      <c r="A9" s="8" t="s">
        <v>30</v>
      </c>
      <c r="B9" s="76">
        <v>4030</v>
      </c>
      <c r="C9" s="107"/>
      <c r="D9" s="107"/>
      <c r="E9" s="267"/>
      <c r="F9" s="169"/>
      <c r="G9" s="169"/>
      <c r="H9" s="169"/>
      <c r="I9" s="169"/>
      <c r="O9" s="21"/>
    </row>
    <row r="10" spans="1:16" ht="37.5">
      <c r="A10" s="8" t="s">
        <v>3</v>
      </c>
      <c r="B10" s="75">
        <v>4040</v>
      </c>
      <c r="C10" s="107"/>
      <c r="D10" s="107"/>
      <c r="E10" s="267"/>
      <c r="F10" s="169"/>
      <c r="G10" s="169"/>
      <c r="H10" s="169"/>
      <c r="I10" s="169"/>
    </row>
    <row r="11" spans="1:16" ht="56.25">
      <c r="A11" s="8" t="s">
        <v>74</v>
      </c>
      <c r="B11" s="76">
        <v>4050</v>
      </c>
      <c r="C11" s="107"/>
      <c r="D11" s="228"/>
      <c r="E11" s="228">
        <v>6454</v>
      </c>
      <c r="F11" s="228">
        <v>4167</v>
      </c>
      <c r="G11" s="228">
        <v>5833</v>
      </c>
      <c r="H11" s="228">
        <v>5833</v>
      </c>
      <c r="I11" s="228">
        <v>5833</v>
      </c>
      <c r="J11" s="226" t="s">
        <v>449</v>
      </c>
    </row>
    <row r="12" spans="1:16" ht="20.100000000000001" customHeight="1">
      <c r="A12" s="108"/>
      <c r="B12" s="108"/>
      <c r="C12" s="108"/>
      <c r="D12" s="108"/>
      <c r="E12" s="108"/>
      <c r="F12" s="151"/>
      <c r="G12" s="151"/>
      <c r="H12" s="151"/>
      <c r="I12" s="151"/>
    </row>
    <row r="13" spans="1:16" ht="20.100000000000001" customHeight="1">
      <c r="A13" s="108"/>
      <c r="B13" s="108"/>
      <c r="C13" s="108"/>
      <c r="D13" s="108"/>
      <c r="E13" s="108"/>
      <c r="F13" s="151"/>
      <c r="G13" s="151"/>
      <c r="H13" s="151"/>
      <c r="I13" s="151"/>
    </row>
    <row r="14" spans="1:16" s="1" customFormat="1">
      <c r="A14" s="129"/>
      <c r="B14" s="140"/>
      <c r="C14" s="108"/>
      <c r="D14" s="108"/>
      <c r="E14" s="108"/>
      <c r="F14" s="108"/>
      <c r="G14" s="108"/>
      <c r="H14" s="108"/>
      <c r="I14" s="108"/>
      <c r="J14" s="2"/>
    </row>
    <row r="15" spans="1:16" s="5" customFormat="1" ht="19.5">
      <c r="A15" s="175" t="s">
        <v>406</v>
      </c>
      <c r="B15" s="148"/>
      <c r="C15" s="312" t="s">
        <v>119</v>
      </c>
      <c r="D15" s="313"/>
      <c r="E15" s="313"/>
      <c r="F15" s="180"/>
      <c r="G15" s="314" t="s">
        <v>403</v>
      </c>
      <c r="H15" s="314"/>
      <c r="I15" s="314"/>
    </row>
    <row r="16" spans="1:16" s="1" customFormat="1" ht="20.100000000000001" customHeight="1">
      <c r="A16" s="109" t="s">
        <v>83</v>
      </c>
      <c r="B16" s="108"/>
      <c r="C16" s="305" t="s">
        <v>84</v>
      </c>
      <c r="D16" s="305"/>
      <c r="E16" s="305"/>
      <c r="F16" s="135"/>
      <c r="G16" s="306" t="s">
        <v>448</v>
      </c>
      <c r="H16" s="306"/>
      <c r="I16" s="306"/>
    </row>
    <row r="17" spans="1:9">
      <c r="A17" s="152"/>
      <c r="B17" s="109"/>
      <c r="C17" s="109"/>
      <c r="D17" s="109"/>
      <c r="E17" s="109"/>
      <c r="F17" s="108"/>
      <c r="G17" s="108"/>
      <c r="H17" s="108"/>
      <c r="I17" s="108"/>
    </row>
    <row r="18" spans="1:9">
      <c r="A18" s="152"/>
      <c r="B18" s="109"/>
      <c r="C18" s="109"/>
      <c r="D18" s="109"/>
      <c r="E18" s="109"/>
      <c r="F18" s="108"/>
      <c r="G18" s="108"/>
      <c r="H18" s="108"/>
      <c r="I18" s="108"/>
    </row>
    <row r="19" spans="1:9">
      <c r="A19" s="50"/>
    </row>
    <row r="20" spans="1:9">
      <c r="A20" s="50"/>
    </row>
    <row r="21" spans="1:9">
      <c r="A21" s="50"/>
    </row>
    <row r="22" spans="1:9">
      <c r="A22" s="50"/>
    </row>
    <row r="23" spans="1:9">
      <c r="A23" s="50"/>
    </row>
    <row r="24" spans="1:9">
      <c r="A24" s="50"/>
    </row>
    <row r="25" spans="1:9">
      <c r="A25" s="50"/>
    </row>
    <row r="26" spans="1:9">
      <c r="A26" s="50"/>
    </row>
    <row r="27" spans="1:9">
      <c r="A27" s="50"/>
    </row>
    <row r="28" spans="1:9">
      <c r="A28" s="50"/>
    </row>
    <row r="29" spans="1:9">
      <c r="A29" s="50"/>
    </row>
    <row r="30" spans="1:9">
      <c r="A30" s="50"/>
    </row>
    <row r="31" spans="1:9">
      <c r="A31" s="50"/>
    </row>
    <row r="32" spans="1:9">
      <c r="A32" s="50"/>
    </row>
    <row r="33" spans="1:1">
      <c r="A33" s="50"/>
    </row>
    <row r="34" spans="1:1">
      <c r="A34" s="50"/>
    </row>
    <row r="35" spans="1:1">
      <c r="A35" s="50"/>
    </row>
    <row r="36" spans="1:1">
      <c r="A36" s="50"/>
    </row>
    <row r="37" spans="1:1">
      <c r="A37" s="50"/>
    </row>
    <row r="38" spans="1:1">
      <c r="A38" s="50"/>
    </row>
    <row r="39" spans="1:1">
      <c r="A39" s="50"/>
    </row>
    <row r="40" spans="1:1">
      <c r="A40" s="50"/>
    </row>
    <row r="41" spans="1:1">
      <c r="A41" s="50"/>
    </row>
    <row r="42" spans="1:1">
      <c r="A42" s="50"/>
    </row>
    <row r="43" spans="1:1">
      <c r="A43" s="50"/>
    </row>
    <row r="44" spans="1:1">
      <c r="A44" s="50"/>
    </row>
    <row r="45" spans="1:1">
      <c r="A45" s="50"/>
    </row>
    <row r="46" spans="1:1">
      <c r="A46" s="50"/>
    </row>
    <row r="47" spans="1:1">
      <c r="A47" s="50"/>
    </row>
    <row r="48" spans="1:1">
      <c r="A48" s="50"/>
    </row>
    <row r="49" spans="1:1">
      <c r="A49" s="50"/>
    </row>
    <row r="50" spans="1:1">
      <c r="A50" s="50"/>
    </row>
    <row r="51" spans="1:1">
      <c r="A51" s="50"/>
    </row>
    <row r="52" spans="1:1">
      <c r="A52" s="50"/>
    </row>
    <row r="53" spans="1:1">
      <c r="A53" s="50"/>
    </row>
    <row r="54" spans="1:1">
      <c r="A54" s="50"/>
    </row>
    <row r="55" spans="1:1">
      <c r="A55" s="50"/>
    </row>
    <row r="56" spans="1:1">
      <c r="A56" s="50"/>
    </row>
    <row r="57" spans="1:1">
      <c r="A57" s="50"/>
    </row>
    <row r="58" spans="1:1">
      <c r="A58" s="50"/>
    </row>
    <row r="59" spans="1:1">
      <c r="A59" s="50"/>
    </row>
    <row r="60" spans="1:1">
      <c r="A60" s="50"/>
    </row>
    <row r="61" spans="1:1">
      <c r="A61" s="50"/>
    </row>
    <row r="62" spans="1:1">
      <c r="A62" s="50"/>
    </row>
    <row r="63" spans="1:1">
      <c r="A63" s="50"/>
    </row>
    <row r="64" spans="1:1">
      <c r="A64" s="50"/>
    </row>
    <row r="65" spans="1:1">
      <c r="A65" s="50"/>
    </row>
    <row r="66" spans="1:1">
      <c r="A66" s="50"/>
    </row>
    <row r="67" spans="1:1">
      <c r="A67" s="50"/>
    </row>
    <row r="68" spans="1:1">
      <c r="A68" s="50"/>
    </row>
    <row r="69" spans="1:1">
      <c r="A69" s="50"/>
    </row>
    <row r="70" spans="1:1">
      <c r="A70" s="50"/>
    </row>
    <row r="71" spans="1:1">
      <c r="A71" s="50"/>
    </row>
    <row r="72" spans="1:1">
      <c r="A72" s="50"/>
    </row>
    <row r="73" spans="1:1">
      <c r="A73" s="50"/>
    </row>
    <row r="74" spans="1:1">
      <c r="A74" s="50"/>
    </row>
    <row r="75" spans="1:1">
      <c r="A75" s="50"/>
    </row>
    <row r="76" spans="1:1">
      <c r="A76" s="50"/>
    </row>
    <row r="77" spans="1:1">
      <c r="A77" s="50"/>
    </row>
    <row r="78" spans="1:1">
      <c r="A78" s="50"/>
    </row>
    <row r="79" spans="1:1">
      <c r="A79" s="50"/>
    </row>
    <row r="80" spans="1:1">
      <c r="A80" s="50"/>
    </row>
    <row r="81" spans="1:1">
      <c r="A81" s="50"/>
    </row>
    <row r="82" spans="1:1">
      <c r="A82" s="50"/>
    </row>
    <row r="83" spans="1:1">
      <c r="A83" s="50"/>
    </row>
    <row r="84" spans="1:1">
      <c r="A84" s="50"/>
    </row>
    <row r="85" spans="1:1">
      <c r="A85" s="50"/>
    </row>
    <row r="86" spans="1:1">
      <c r="A86" s="50"/>
    </row>
    <row r="87" spans="1:1">
      <c r="A87" s="50"/>
    </row>
    <row r="88" spans="1:1">
      <c r="A88" s="50"/>
    </row>
    <row r="89" spans="1:1">
      <c r="A89" s="50"/>
    </row>
    <row r="90" spans="1:1">
      <c r="A90" s="50"/>
    </row>
    <row r="91" spans="1:1">
      <c r="A91" s="50"/>
    </row>
    <row r="92" spans="1:1">
      <c r="A92" s="50"/>
    </row>
    <row r="93" spans="1:1">
      <c r="A93" s="50"/>
    </row>
    <row r="94" spans="1:1">
      <c r="A94" s="50"/>
    </row>
    <row r="95" spans="1:1">
      <c r="A95" s="50"/>
    </row>
    <row r="96" spans="1:1">
      <c r="A96" s="50"/>
    </row>
    <row r="97" spans="1:1">
      <c r="A97" s="50"/>
    </row>
    <row r="98" spans="1:1">
      <c r="A98" s="50"/>
    </row>
    <row r="99" spans="1:1">
      <c r="A99" s="50"/>
    </row>
    <row r="100" spans="1:1">
      <c r="A100" s="50"/>
    </row>
    <row r="101" spans="1:1">
      <c r="A101" s="50"/>
    </row>
    <row r="102" spans="1:1">
      <c r="A102" s="50"/>
    </row>
    <row r="103" spans="1:1">
      <c r="A103" s="50"/>
    </row>
    <row r="104" spans="1:1">
      <c r="A104" s="50"/>
    </row>
    <row r="105" spans="1:1">
      <c r="A105" s="50"/>
    </row>
    <row r="106" spans="1:1">
      <c r="A106" s="50"/>
    </row>
    <row r="107" spans="1:1">
      <c r="A107" s="50"/>
    </row>
    <row r="108" spans="1:1">
      <c r="A108" s="50"/>
    </row>
    <row r="109" spans="1:1">
      <c r="A109" s="50"/>
    </row>
    <row r="110" spans="1:1">
      <c r="A110" s="50"/>
    </row>
    <row r="111" spans="1:1">
      <c r="A111" s="50"/>
    </row>
    <row r="112" spans="1:1">
      <c r="A112" s="50"/>
    </row>
    <row r="113" spans="1:1">
      <c r="A113" s="50"/>
    </row>
    <row r="114" spans="1:1">
      <c r="A114" s="50"/>
    </row>
    <row r="115" spans="1:1">
      <c r="A115" s="50"/>
    </row>
    <row r="116" spans="1:1">
      <c r="A116" s="50"/>
    </row>
    <row r="117" spans="1:1">
      <c r="A117" s="50"/>
    </row>
    <row r="118" spans="1:1">
      <c r="A118" s="50"/>
    </row>
    <row r="119" spans="1:1">
      <c r="A119" s="50"/>
    </row>
    <row r="120" spans="1:1">
      <c r="A120" s="50"/>
    </row>
    <row r="121" spans="1:1">
      <c r="A121" s="50"/>
    </row>
    <row r="122" spans="1:1">
      <c r="A122" s="50"/>
    </row>
    <row r="123" spans="1:1">
      <c r="A123" s="50"/>
    </row>
    <row r="124" spans="1:1">
      <c r="A124" s="50"/>
    </row>
    <row r="125" spans="1:1">
      <c r="A125" s="50"/>
    </row>
    <row r="126" spans="1:1">
      <c r="A126" s="50"/>
    </row>
    <row r="127" spans="1:1">
      <c r="A127" s="50"/>
    </row>
    <row r="128" spans="1:1">
      <c r="A128" s="50"/>
    </row>
    <row r="129" spans="1:1">
      <c r="A129" s="50"/>
    </row>
    <row r="130" spans="1:1">
      <c r="A130" s="50"/>
    </row>
    <row r="131" spans="1:1">
      <c r="A131" s="50"/>
    </row>
    <row r="132" spans="1:1">
      <c r="A132" s="50"/>
    </row>
    <row r="133" spans="1:1">
      <c r="A133" s="50"/>
    </row>
    <row r="134" spans="1:1">
      <c r="A134" s="50"/>
    </row>
    <row r="135" spans="1:1">
      <c r="A135" s="50"/>
    </row>
    <row r="136" spans="1:1">
      <c r="A136" s="50"/>
    </row>
    <row r="137" spans="1:1">
      <c r="A137" s="50"/>
    </row>
    <row r="138" spans="1:1">
      <c r="A138" s="50"/>
    </row>
    <row r="139" spans="1:1">
      <c r="A139" s="50"/>
    </row>
    <row r="140" spans="1:1">
      <c r="A140" s="50"/>
    </row>
    <row r="141" spans="1:1">
      <c r="A141" s="50"/>
    </row>
    <row r="142" spans="1:1">
      <c r="A142" s="50"/>
    </row>
    <row r="143" spans="1:1">
      <c r="A143" s="50"/>
    </row>
    <row r="144" spans="1:1">
      <c r="A144" s="50"/>
    </row>
    <row r="145" spans="1:1">
      <c r="A145" s="50"/>
    </row>
    <row r="146" spans="1:1">
      <c r="A146" s="50"/>
    </row>
    <row r="147" spans="1:1">
      <c r="A147" s="50"/>
    </row>
    <row r="148" spans="1:1">
      <c r="A148" s="50"/>
    </row>
    <row r="149" spans="1:1">
      <c r="A149" s="50"/>
    </row>
    <row r="150" spans="1:1">
      <c r="A150" s="50"/>
    </row>
    <row r="151" spans="1:1">
      <c r="A151" s="50"/>
    </row>
    <row r="152" spans="1:1">
      <c r="A152" s="50"/>
    </row>
    <row r="153" spans="1:1">
      <c r="A153" s="50"/>
    </row>
    <row r="154" spans="1:1">
      <c r="A154" s="50"/>
    </row>
    <row r="155" spans="1:1">
      <c r="A155" s="50"/>
    </row>
    <row r="156" spans="1:1">
      <c r="A156" s="50"/>
    </row>
    <row r="157" spans="1:1">
      <c r="A157" s="50"/>
    </row>
    <row r="158" spans="1:1">
      <c r="A158" s="50"/>
    </row>
    <row r="159" spans="1:1">
      <c r="A159" s="50"/>
    </row>
    <row r="160" spans="1:1">
      <c r="A160" s="50"/>
    </row>
    <row r="161" spans="1:1">
      <c r="A161" s="50"/>
    </row>
    <row r="162" spans="1:1">
      <c r="A162" s="50"/>
    </row>
    <row r="163" spans="1:1">
      <c r="A163" s="50"/>
    </row>
    <row r="164" spans="1:1">
      <c r="A164" s="50"/>
    </row>
    <row r="165" spans="1:1">
      <c r="A165" s="50"/>
    </row>
    <row r="166" spans="1:1">
      <c r="A166" s="50"/>
    </row>
    <row r="167" spans="1:1">
      <c r="A167" s="50"/>
    </row>
    <row r="168" spans="1:1">
      <c r="A168" s="50"/>
    </row>
    <row r="169" spans="1:1">
      <c r="A169" s="50"/>
    </row>
    <row r="170" spans="1:1">
      <c r="A170" s="50"/>
    </row>
    <row r="171" spans="1:1">
      <c r="A171" s="50"/>
    </row>
    <row r="172" spans="1:1">
      <c r="A172" s="50"/>
    </row>
    <row r="173" spans="1:1">
      <c r="A173" s="50"/>
    </row>
    <row r="174" spans="1:1">
      <c r="A174" s="50"/>
    </row>
    <row r="175" spans="1:1">
      <c r="A175" s="50"/>
    </row>
    <row r="176" spans="1:1">
      <c r="A176" s="50"/>
    </row>
    <row r="177" spans="1:1">
      <c r="A177" s="50"/>
    </row>
    <row r="178" spans="1:1">
      <c r="A178" s="50"/>
    </row>
    <row r="179" spans="1:1">
      <c r="A179" s="50"/>
    </row>
    <row r="180" spans="1:1">
      <c r="A180" s="50"/>
    </row>
    <row r="181" spans="1:1">
      <c r="A181" s="50"/>
    </row>
    <row r="182" spans="1:1">
      <c r="A182" s="50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12">
    <mergeCell ref="A1:I1"/>
    <mergeCell ref="B3:B4"/>
    <mergeCell ref="C3:C4"/>
    <mergeCell ref="D3:D4"/>
    <mergeCell ref="A2:I2"/>
    <mergeCell ref="F3:I3"/>
    <mergeCell ref="E3:E4"/>
    <mergeCell ref="C15:E15"/>
    <mergeCell ref="G15:I15"/>
    <mergeCell ref="C16:E16"/>
    <mergeCell ref="G16:I16"/>
    <mergeCell ref="A3:A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75" zoomScaleNormal="75" zoomScaleSheetLayoutView="75" workbookViewId="0">
      <pane ySplit="5" topLeftCell="A13" activePane="bottomLeft" state="frozen"/>
      <selection pane="bottomLeft" activeCell="D17" sqref="D17:G18"/>
    </sheetView>
  </sheetViews>
  <sheetFormatPr defaultRowHeight="12.75"/>
  <cols>
    <col min="1" max="1" width="60.42578125" style="31" customWidth="1"/>
    <col min="2" max="2" width="11" style="31" customWidth="1"/>
    <col min="3" max="3" width="16" style="31" customWidth="1"/>
    <col min="4" max="4" width="18.28515625" style="31" customWidth="1"/>
    <col min="5" max="5" width="19.7109375" style="31" customWidth="1"/>
    <col min="6" max="6" width="18.5703125" style="31" customWidth="1"/>
    <col min="7" max="7" width="18.85546875" style="31" customWidth="1"/>
    <col min="8" max="8" width="37.42578125" style="31" customWidth="1"/>
    <col min="9" max="9" width="9.5703125" style="31" customWidth="1"/>
    <col min="10" max="16384" width="9.140625" style="31"/>
  </cols>
  <sheetData>
    <row r="1" spans="1:8" ht="25.5" customHeight="1">
      <c r="A1" s="329" t="s">
        <v>231</v>
      </c>
      <c r="B1" s="329"/>
      <c r="C1" s="329"/>
      <c r="D1" s="329"/>
      <c r="E1" s="329"/>
      <c r="F1" s="329"/>
      <c r="G1" s="329"/>
      <c r="H1" s="329"/>
    </row>
    <row r="2" spans="1:8" ht="16.5" customHeight="1"/>
    <row r="3" spans="1:8" ht="45" customHeight="1">
      <c r="A3" s="330" t="s">
        <v>272</v>
      </c>
      <c r="B3" s="330" t="s">
        <v>0</v>
      </c>
      <c r="C3" s="330" t="s">
        <v>110</v>
      </c>
      <c r="D3" s="330" t="s">
        <v>31</v>
      </c>
      <c r="E3" s="330" t="s">
        <v>111</v>
      </c>
      <c r="F3" s="334" t="s">
        <v>181</v>
      </c>
      <c r="G3" s="330" t="s">
        <v>112</v>
      </c>
      <c r="H3" s="330" t="s">
        <v>113</v>
      </c>
    </row>
    <row r="4" spans="1:8" ht="52.5" customHeight="1">
      <c r="A4" s="331"/>
      <c r="B4" s="331"/>
      <c r="C4" s="331"/>
      <c r="D4" s="331"/>
      <c r="E4" s="331"/>
      <c r="F4" s="335"/>
      <c r="G4" s="331"/>
      <c r="H4" s="331"/>
    </row>
    <row r="5" spans="1:8" s="63" customFormat="1" ht="18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</row>
    <row r="6" spans="1:8" s="63" customFormat="1" ht="20.100000000000001" customHeight="1">
      <c r="A6" s="77" t="s">
        <v>203</v>
      </c>
      <c r="B6" s="62"/>
      <c r="C6" s="40"/>
      <c r="D6" s="40"/>
      <c r="E6" s="40"/>
      <c r="F6" s="40"/>
      <c r="G6" s="40"/>
      <c r="H6" s="40"/>
    </row>
    <row r="7" spans="1:8" ht="75">
      <c r="A7" s="8" t="s">
        <v>349</v>
      </c>
      <c r="B7" s="7">
        <v>5000</v>
      </c>
      <c r="C7" s="79" t="s">
        <v>337</v>
      </c>
      <c r="D7" s="94">
        <f>'Осн. фін. пок.'!C40*100/'Осн. фін. пок.'!C38</f>
        <v>-47.892720306513411</v>
      </c>
      <c r="E7" s="153">
        <v>100</v>
      </c>
      <c r="F7" s="94">
        <f>'Осн. фін. пок.'!F40*100/'Осн. фін. пок.'!F38</f>
        <v>-150.97402597402598</v>
      </c>
      <c r="G7" s="94">
        <f>'Осн. фін. пок.'!E40*100/'Осн. фін. пок.'!E38</f>
        <v>-275.09765625</v>
      </c>
      <c r="H7" s="87"/>
    </row>
    <row r="8" spans="1:8" ht="63.95" customHeight="1">
      <c r="A8" s="8" t="s">
        <v>350</v>
      </c>
      <c r="B8" s="7">
        <v>5010</v>
      </c>
      <c r="C8" s="79" t="s">
        <v>337</v>
      </c>
      <c r="D8" s="94">
        <f>'Осн. фін. пок.'!C45*100/'Осн. фін. пок.'!C38</f>
        <v>29.78927203065134</v>
      </c>
      <c r="E8" s="153">
        <v>29.28</v>
      </c>
      <c r="F8" s="94">
        <f>'Осн. фін. пок.'!F45*100/'Осн. фін. пок.'!F38</f>
        <v>114.5021645021645</v>
      </c>
      <c r="G8" s="94">
        <f>'Осн. фін. пок.'!E45*100/'Осн. фін. пок.'!E38</f>
        <v>33.69140625</v>
      </c>
      <c r="H8" s="87"/>
    </row>
    <row r="9" spans="1:8" ht="56.25">
      <c r="A9" s="89" t="s">
        <v>356</v>
      </c>
      <c r="B9" s="7">
        <v>5020</v>
      </c>
      <c r="C9" s="79" t="s">
        <v>337</v>
      </c>
      <c r="D9" s="184">
        <f>'Осн. фін. пок.'!C51/'Осн. фін. пок.'!C77</f>
        <v>3.5964912280701754E-3</v>
      </c>
      <c r="E9" s="266">
        <v>3.0000000000000001E-3</v>
      </c>
      <c r="F9" s="184">
        <f>'Осн. фін. пок.'!F51/'Осн. фін. пок.'!F77</f>
        <v>2.7273391812865498E-2</v>
      </c>
      <c r="G9" s="184">
        <f>'Осн. фін. пок.'!E51/'Осн. фін. пок.'!E77</f>
        <v>2.6794828172847906E-3</v>
      </c>
      <c r="H9" s="87" t="s">
        <v>338</v>
      </c>
    </row>
    <row r="10" spans="1:8" ht="56.25">
      <c r="A10" s="89" t="s">
        <v>357</v>
      </c>
      <c r="B10" s="7">
        <v>5030</v>
      </c>
      <c r="C10" s="79" t="s">
        <v>337</v>
      </c>
      <c r="D10" s="183">
        <f>'Осн. фін. пок.'!C51/'Осн. фін. пок.'!C83</f>
        <v>0.11310344827586206</v>
      </c>
      <c r="E10" s="265">
        <v>8.6999999999999994E-2</v>
      </c>
      <c r="F10" s="183">
        <f>'Осн. фін. пок.'!F51/'Осн. фін. пок.'!F83</f>
        <v>0.85770114942528741</v>
      </c>
      <c r="G10" s="183">
        <f>'Осн. фін. пок.'!E51/'Осн. фін. пок.'!E83</f>
        <v>8.3510074231177098E-3</v>
      </c>
      <c r="H10" s="87"/>
    </row>
    <row r="11" spans="1:8" ht="75">
      <c r="A11" s="89" t="s">
        <v>358</v>
      </c>
      <c r="B11" s="7">
        <v>5040</v>
      </c>
      <c r="C11" s="79" t="s">
        <v>114</v>
      </c>
      <c r="D11" s="183">
        <f>'Осн. фін. пок.'!C51/'Осн. фін. пок.'!C38</f>
        <v>5.6551724137931032E-2</v>
      </c>
      <c r="E11" s="265">
        <v>0.05</v>
      </c>
      <c r="F11" s="183">
        <f>'Осн. фін. пок.'!F51/'Осн. фін. пок.'!F38</f>
        <v>0.48454545454545456</v>
      </c>
      <c r="G11" s="183">
        <f>'Осн. фін. пок.'!E51/'Осн. фін. пок.'!E38</f>
        <v>6.15234375E-2</v>
      </c>
      <c r="H11" s="87" t="s">
        <v>339</v>
      </c>
    </row>
    <row r="12" spans="1:8" ht="20.100000000000001" customHeight="1">
      <c r="A12" s="77" t="s">
        <v>205</v>
      </c>
      <c r="B12" s="7"/>
      <c r="C12" s="80"/>
      <c r="D12" s="88"/>
      <c r="E12" s="153"/>
      <c r="F12" s="88"/>
      <c r="G12" s="88"/>
      <c r="H12" s="87"/>
    </row>
    <row r="13" spans="1:8" ht="63.95" customHeight="1">
      <c r="A13" s="78" t="s">
        <v>308</v>
      </c>
      <c r="B13" s="7">
        <v>5100</v>
      </c>
      <c r="C13" s="79"/>
      <c r="D13" s="183">
        <f>('Осн. фін. пок.'!C78+'Осн. фін. пок.'!C79)/'Осн. фін. пок.'!C45</f>
        <v>51.10610932475884</v>
      </c>
      <c r="E13" s="265">
        <v>12.6</v>
      </c>
      <c r="F13" s="183">
        <f>('Осн. фін. пок.'!F78+'Осн. фін. пок.'!F79)/'Осн. фін. пок.'!F45</f>
        <v>15.022684310018903</v>
      </c>
      <c r="G13" s="183">
        <f>('Осн. фін. пок.'!E78+'Осн. фін. пок.'!E79)/'Осн. фін. пок.'!E45</f>
        <v>46.284057971014491</v>
      </c>
      <c r="H13" s="87"/>
    </row>
    <row r="14" spans="1:8" s="63" customFormat="1" ht="75">
      <c r="A14" s="78" t="s">
        <v>309</v>
      </c>
      <c r="B14" s="7">
        <v>5110</v>
      </c>
      <c r="C14" s="79" t="s">
        <v>190</v>
      </c>
      <c r="D14" s="183">
        <f>'Осн. фін. пок.'!C83/('Осн. фін. пок.'!C78+'Осн. фін. пок.'!C79)</f>
        <v>3.2842582106455263E-2</v>
      </c>
      <c r="E14" s="265">
        <v>0.16</v>
      </c>
      <c r="F14" s="183">
        <f>'Осн. фін. пок.'!F83/('Осн. фін. пок.'!F78+'Осн. фін. пок.'!F79)</f>
        <v>3.2842582106455263E-2</v>
      </c>
      <c r="G14" s="183">
        <f>'Осн. фін. пок.'!E83/('Осн. фін. пок.'!E78+'Осн. фін. пок.'!E79)</f>
        <v>0.47244488977955912</v>
      </c>
      <c r="H14" s="87" t="s">
        <v>340</v>
      </c>
    </row>
    <row r="15" spans="1:8" s="63" customFormat="1" ht="112.5">
      <c r="A15" s="78" t="s">
        <v>310</v>
      </c>
      <c r="B15" s="7">
        <v>5120</v>
      </c>
      <c r="C15" s="79" t="s">
        <v>190</v>
      </c>
      <c r="D15" s="183">
        <f>'Осн. фін. пок.'!C75/'Осн. фін. пок.'!C79</f>
        <v>0.25135002454590083</v>
      </c>
      <c r="E15" s="265">
        <v>0.23</v>
      </c>
      <c r="F15" s="183">
        <f>'Осн. фін. пок.'!F75/'Осн. фін. пок.'!F79</f>
        <v>0.25135002454590083</v>
      </c>
      <c r="G15" s="183">
        <f>'Осн. фін. пок.'!E75/'Осн. фін. пок.'!E79</f>
        <v>0.61595949855351972</v>
      </c>
      <c r="H15" s="87" t="s">
        <v>342</v>
      </c>
    </row>
    <row r="16" spans="1:8" ht="20.100000000000001" customHeight="1">
      <c r="A16" s="77" t="s">
        <v>204</v>
      </c>
      <c r="B16" s="7"/>
      <c r="C16" s="79"/>
      <c r="D16" s="88"/>
      <c r="E16" s="153"/>
      <c r="F16" s="88"/>
      <c r="G16" s="88"/>
      <c r="H16" s="87"/>
    </row>
    <row r="17" spans="1:10" ht="56.25">
      <c r="A17" s="78" t="s">
        <v>311</v>
      </c>
      <c r="B17" s="7">
        <v>5200</v>
      </c>
      <c r="C17" s="79"/>
      <c r="D17" s="183">
        <f>'Осн. фін. пок.'!C68/'I. Фін результат'!C101</f>
        <v>0.85384615384615381</v>
      </c>
      <c r="E17" s="265">
        <v>0.21</v>
      </c>
      <c r="F17" s="183">
        <f>'Осн. фін. пок.'!F68/'I. Фін результат'!E101</f>
        <v>14.20703125</v>
      </c>
      <c r="G17" s="183">
        <f>'Осн. фін. пок.'!E68/'I. Фін результат'!I101</f>
        <v>21.764925373134329</v>
      </c>
      <c r="H17" s="87"/>
    </row>
    <row r="18" spans="1:10" ht="75">
      <c r="A18" s="78" t="s">
        <v>312</v>
      </c>
      <c r="B18" s="7">
        <v>5210</v>
      </c>
      <c r="C18" s="79"/>
      <c r="D18" s="183">
        <f>'Осн. фін. пок.'!C68/'Осн. фін. пок.'!C38</f>
        <v>0.21264367816091953</v>
      </c>
      <c r="E18" s="265">
        <v>4.9000000000000002E-2</v>
      </c>
      <c r="F18" s="183">
        <f>'Осн. фін. пок.'!F68/'Осн. фін. пок.'!F38</f>
        <v>7.8722943722943723</v>
      </c>
      <c r="G18" s="183">
        <f>'Осн. фін. пок.'!E68/'Осн. фін. пок.'!E38</f>
        <v>5.6962890625</v>
      </c>
      <c r="H18" s="87"/>
    </row>
    <row r="19" spans="1:10" ht="63.95" customHeight="1">
      <c r="A19" s="78" t="s">
        <v>351</v>
      </c>
      <c r="B19" s="7">
        <v>5220</v>
      </c>
      <c r="C19" s="79" t="s">
        <v>337</v>
      </c>
      <c r="D19" s="265">
        <f>2471.2/5594.4</f>
        <v>0.44172744172744172</v>
      </c>
      <c r="E19" s="265">
        <v>0.43</v>
      </c>
      <c r="F19" s="265">
        <f>(2471.2+'I. Фін результат'!E101)/(5594.4+'IV. Кап. інвестиції'!E6)</f>
        <v>0.23182369214509962</v>
      </c>
      <c r="G19" s="265">
        <f>(2471.2+'I. Фін результат'!E101+'I. Фін результат'!I101)/((5594.4+'IV. Кап. інвестиції'!E6)+'IV. Кап. інвестиції'!I6)</f>
        <v>0.17384794721250812</v>
      </c>
      <c r="H19" s="87" t="s">
        <v>341</v>
      </c>
    </row>
    <row r="20" spans="1:10" ht="20.100000000000001" customHeight="1">
      <c r="A20" s="62" t="s">
        <v>290</v>
      </c>
      <c r="B20" s="7"/>
      <c r="C20" s="79"/>
      <c r="D20" s="88"/>
      <c r="E20" s="153"/>
      <c r="F20" s="88"/>
      <c r="G20" s="88"/>
      <c r="H20" s="87"/>
    </row>
    <row r="21" spans="1:10" ht="112.5">
      <c r="A21" s="89" t="s">
        <v>352</v>
      </c>
      <c r="B21" s="7">
        <v>5300</v>
      </c>
      <c r="C21" s="79"/>
      <c r="D21" s="153"/>
      <c r="E21" s="153"/>
      <c r="F21" s="153"/>
      <c r="G21" s="153"/>
      <c r="H21" s="154"/>
    </row>
    <row r="22" spans="1:10" ht="20.100000000000001" customHeight="1">
      <c r="A22" s="155"/>
      <c r="B22" s="155"/>
      <c r="C22" s="155"/>
      <c r="D22" s="155"/>
      <c r="E22" s="155"/>
      <c r="F22" s="155"/>
      <c r="G22" s="155"/>
      <c r="H22" s="155"/>
    </row>
    <row r="23" spans="1:10" ht="20.100000000000001" customHeight="1">
      <c r="A23" s="155"/>
      <c r="B23" s="155"/>
      <c r="C23" s="155"/>
      <c r="D23" s="155"/>
      <c r="E23" s="155"/>
      <c r="F23" s="155"/>
      <c r="G23" s="155"/>
      <c r="H23" s="155"/>
    </row>
    <row r="24" spans="1:10" ht="20.100000000000001" customHeight="1">
      <c r="A24" s="155"/>
      <c r="B24" s="155"/>
      <c r="C24" s="155"/>
      <c r="D24" s="155"/>
      <c r="E24" s="155"/>
      <c r="F24" s="155"/>
      <c r="G24" s="155"/>
      <c r="H24" s="155"/>
    </row>
    <row r="25" spans="1:10" s="187" customFormat="1" ht="24.75" customHeight="1">
      <c r="A25" s="185" t="s">
        <v>440</v>
      </c>
      <c r="B25" s="185"/>
      <c r="C25" s="186"/>
      <c r="D25" s="332" t="s">
        <v>119</v>
      </c>
      <c r="E25" s="333"/>
      <c r="F25" s="333"/>
      <c r="G25" s="333"/>
      <c r="H25" s="181" t="s">
        <v>403</v>
      </c>
    </row>
    <row r="26" spans="1:10" s="1" customFormat="1" ht="20.100000000000001" customHeight="1">
      <c r="A26" s="109" t="s">
        <v>418</v>
      </c>
      <c r="B26" s="156"/>
      <c r="C26" s="108"/>
      <c r="D26" s="305" t="s">
        <v>84</v>
      </c>
      <c r="E26" s="305"/>
      <c r="F26" s="305"/>
      <c r="G26" s="305"/>
      <c r="H26" s="140" t="s">
        <v>269</v>
      </c>
      <c r="I26" s="60"/>
      <c r="J26" s="60"/>
    </row>
    <row r="27" spans="1:10">
      <c r="A27" s="155"/>
      <c r="B27" s="155"/>
      <c r="C27" s="155"/>
      <c r="D27" s="155"/>
      <c r="E27" s="155"/>
      <c r="F27" s="155"/>
      <c r="G27" s="155"/>
      <c r="H27" s="155"/>
    </row>
    <row r="28" spans="1:10">
      <c r="A28" s="155"/>
      <c r="B28" s="155"/>
      <c r="C28" s="155"/>
      <c r="D28" s="155"/>
      <c r="E28" s="155"/>
      <c r="F28" s="155"/>
      <c r="G28" s="155"/>
      <c r="H28" s="155"/>
    </row>
    <row r="29" spans="1:10">
      <c r="A29" s="155"/>
      <c r="B29" s="155"/>
      <c r="C29" s="155"/>
      <c r="D29" s="155"/>
      <c r="E29" s="155"/>
      <c r="F29" s="155"/>
      <c r="G29" s="155"/>
      <c r="H29" s="155"/>
    </row>
    <row r="30" spans="1:10">
      <c r="A30" s="155"/>
      <c r="B30" s="155"/>
      <c r="C30" s="155"/>
      <c r="D30" s="155"/>
      <c r="E30" s="155"/>
      <c r="F30" s="155"/>
      <c r="G30" s="155"/>
      <c r="H30" s="155"/>
    </row>
    <row r="31" spans="1:10">
      <c r="A31" s="155"/>
      <c r="B31" s="155"/>
      <c r="C31" s="155"/>
      <c r="D31" s="155"/>
      <c r="E31" s="155"/>
      <c r="F31" s="155"/>
      <c r="G31" s="155"/>
      <c r="H31" s="155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2"/>
      <headerFooter alignWithMargins="0"/>
    </customSheetView>
  </customSheetViews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view="pageBreakPreview" topLeftCell="A13" zoomScale="60" zoomScaleNormal="60" workbookViewId="0">
      <selection activeCell="A22" sqref="A22:K22"/>
    </sheetView>
  </sheetViews>
  <sheetFormatPr defaultRowHeight="18.75"/>
  <cols>
    <col min="1" max="1" width="44.85546875" style="1" customWidth="1"/>
    <col min="2" max="2" width="13.5703125" style="20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384" width="9.140625" style="1"/>
  </cols>
  <sheetData>
    <row r="1" spans="1:15">
      <c r="A1" s="345" t="s">
        <v>136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15">
      <c r="A2" s="346" t="s">
        <v>473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1:15" ht="22.5">
      <c r="A3" s="347" t="s">
        <v>398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20.100000000000001" customHeight="1">
      <c r="A4" s="349" t="s">
        <v>146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21.95" customHeight="1">
      <c r="A5" s="344" t="s">
        <v>98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1:15" ht="10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43.5" customHeight="1">
      <c r="A7" s="350" t="s">
        <v>416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</row>
    <row r="8" spans="1:15" ht="10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2" customFormat="1" ht="40.5" customHeight="1">
      <c r="A9" s="294" t="s">
        <v>272</v>
      </c>
      <c r="B9" s="294"/>
      <c r="C9" s="294"/>
      <c r="D9" s="295" t="s">
        <v>148</v>
      </c>
      <c r="E9" s="295"/>
      <c r="F9" s="295" t="s">
        <v>31</v>
      </c>
      <c r="G9" s="295"/>
      <c r="H9" s="295" t="s">
        <v>70</v>
      </c>
      <c r="I9" s="295"/>
      <c r="J9" s="295" t="s">
        <v>149</v>
      </c>
      <c r="K9" s="295"/>
      <c r="L9" s="295" t="s">
        <v>293</v>
      </c>
      <c r="M9" s="295"/>
      <c r="N9" s="295" t="s">
        <v>294</v>
      </c>
      <c r="O9" s="295"/>
    </row>
    <row r="10" spans="1:15" s="2" customFormat="1" ht="18" customHeight="1">
      <c r="A10" s="294">
        <v>1</v>
      </c>
      <c r="B10" s="294"/>
      <c r="C10" s="294"/>
      <c r="D10" s="295">
        <v>2</v>
      </c>
      <c r="E10" s="295"/>
      <c r="F10" s="295">
        <v>3</v>
      </c>
      <c r="G10" s="295"/>
      <c r="H10" s="295">
        <v>4</v>
      </c>
      <c r="I10" s="295"/>
      <c r="J10" s="295">
        <v>5</v>
      </c>
      <c r="K10" s="295"/>
      <c r="L10" s="295">
        <v>6</v>
      </c>
      <c r="M10" s="295"/>
      <c r="N10" s="295">
        <v>7</v>
      </c>
      <c r="O10" s="295"/>
    </row>
    <row r="11" spans="1:15" s="2" customFormat="1" ht="20.100000000000001" customHeight="1">
      <c r="A11" s="336" t="s">
        <v>147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8"/>
      <c r="L11" s="342"/>
      <c r="M11" s="343"/>
      <c r="N11" s="342"/>
      <c r="O11" s="343"/>
    </row>
    <row r="12" spans="1:15" s="2" customFormat="1" ht="20.100000000000001" customHeight="1">
      <c r="A12" s="341" t="s">
        <v>313</v>
      </c>
      <c r="B12" s="341"/>
      <c r="C12" s="341"/>
      <c r="D12" s="339">
        <v>5</v>
      </c>
      <c r="E12" s="340"/>
      <c r="F12" s="339">
        <v>6</v>
      </c>
      <c r="G12" s="340"/>
      <c r="H12" s="339"/>
      <c r="I12" s="340"/>
      <c r="J12" s="339">
        <v>5</v>
      </c>
      <c r="K12" s="340"/>
      <c r="L12" s="342"/>
      <c r="M12" s="343"/>
      <c r="N12" s="342">
        <f>J12/F12*100</f>
        <v>83.333333333333343</v>
      </c>
      <c r="O12" s="343"/>
    </row>
    <row r="13" spans="1:15" s="2" customFormat="1" ht="20.100000000000001" customHeight="1">
      <c r="A13" s="341" t="s">
        <v>314</v>
      </c>
      <c r="B13" s="341"/>
      <c r="C13" s="341"/>
      <c r="D13" s="339">
        <v>2</v>
      </c>
      <c r="E13" s="340"/>
      <c r="F13" s="339">
        <v>2</v>
      </c>
      <c r="G13" s="340"/>
      <c r="H13" s="339"/>
      <c r="I13" s="340"/>
      <c r="J13" s="339">
        <v>11</v>
      </c>
      <c r="K13" s="340"/>
      <c r="L13" s="342"/>
      <c r="M13" s="343"/>
      <c r="N13" s="342">
        <f t="shared" ref="N13:N33" si="0">J13/F13*100</f>
        <v>550</v>
      </c>
      <c r="O13" s="343"/>
    </row>
    <row r="14" spans="1:15" s="2" customFormat="1" ht="20.100000000000001" customHeight="1">
      <c r="A14" s="341" t="s">
        <v>315</v>
      </c>
      <c r="B14" s="341"/>
      <c r="C14" s="341"/>
      <c r="D14" s="339"/>
      <c r="E14" s="340"/>
      <c r="F14" s="339"/>
      <c r="G14" s="340"/>
      <c r="H14" s="339"/>
      <c r="I14" s="340"/>
      <c r="J14" s="339"/>
      <c r="K14" s="340"/>
      <c r="L14" s="342"/>
      <c r="M14" s="343"/>
      <c r="N14" s="342"/>
      <c r="O14" s="343"/>
    </row>
    <row r="15" spans="1:15" s="2" customFormat="1" ht="20.100000000000001" customHeight="1">
      <c r="A15" s="341" t="s">
        <v>316</v>
      </c>
      <c r="B15" s="341"/>
      <c r="C15" s="341"/>
      <c r="D15" s="339">
        <v>1</v>
      </c>
      <c r="E15" s="340"/>
      <c r="F15" s="339">
        <v>1</v>
      </c>
      <c r="G15" s="340"/>
      <c r="H15" s="339"/>
      <c r="I15" s="340"/>
      <c r="J15" s="339"/>
      <c r="K15" s="340"/>
      <c r="L15" s="342"/>
      <c r="M15" s="343"/>
      <c r="N15" s="342">
        <f t="shared" si="0"/>
        <v>0</v>
      </c>
      <c r="O15" s="343"/>
    </row>
    <row r="16" spans="1:15" s="2" customFormat="1" ht="20.100000000000001" customHeight="1">
      <c r="A16" s="341" t="s">
        <v>317</v>
      </c>
      <c r="B16" s="341"/>
      <c r="C16" s="341"/>
      <c r="D16" s="339">
        <v>33</v>
      </c>
      <c r="E16" s="340"/>
      <c r="F16" s="339">
        <v>32</v>
      </c>
      <c r="G16" s="340"/>
      <c r="H16" s="339"/>
      <c r="I16" s="340"/>
      <c r="J16" s="339">
        <v>25</v>
      </c>
      <c r="K16" s="340"/>
      <c r="L16" s="342"/>
      <c r="M16" s="343"/>
      <c r="N16" s="342">
        <f t="shared" si="0"/>
        <v>78.125</v>
      </c>
      <c r="O16" s="343"/>
    </row>
    <row r="17" spans="1:15" s="2" customFormat="1" ht="20.100000000000001" customHeight="1">
      <c r="A17" s="341" t="s">
        <v>318</v>
      </c>
      <c r="B17" s="341"/>
      <c r="C17" s="341"/>
      <c r="D17" s="339"/>
      <c r="E17" s="340"/>
      <c r="F17" s="339"/>
      <c r="G17" s="340"/>
      <c r="H17" s="339"/>
      <c r="I17" s="340"/>
      <c r="J17" s="339"/>
      <c r="K17" s="340"/>
      <c r="L17" s="342"/>
      <c r="M17" s="343"/>
      <c r="N17" s="342"/>
      <c r="O17" s="343"/>
    </row>
    <row r="18" spans="1:15" s="2" customFormat="1" ht="20.100000000000001" customHeight="1">
      <c r="A18" s="336" t="s">
        <v>291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8"/>
      <c r="L18" s="342"/>
      <c r="M18" s="343"/>
      <c r="N18" s="342"/>
      <c r="O18" s="343"/>
    </row>
    <row r="19" spans="1:15" s="2" customFormat="1" ht="20.100000000000001" customHeight="1">
      <c r="A19" s="341" t="s">
        <v>270</v>
      </c>
      <c r="B19" s="341"/>
      <c r="C19" s="341"/>
      <c r="D19" s="244">
        <v>95</v>
      </c>
      <c r="E19" s="245"/>
      <c r="F19" s="244">
        <v>115</v>
      </c>
      <c r="G19" s="245"/>
      <c r="H19" s="355"/>
      <c r="I19" s="356"/>
      <c r="J19" s="355">
        <v>208</v>
      </c>
      <c r="K19" s="356"/>
      <c r="L19" s="342"/>
      <c r="M19" s="343"/>
      <c r="N19" s="342">
        <f t="shared" si="0"/>
        <v>180.86956521739131</v>
      </c>
      <c r="O19" s="343"/>
    </row>
    <row r="20" spans="1:15" s="2" customFormat="1" ht="20.100000000000001" customHeight="1">
      <c r="A20" s="341" t="s">
        <v>295</v>
      </c>
      <c r="B20" s="341"/>
      <c r="C20" s="341"/>
      <c r="D20" s="240">
        <v>199</v>
      </c>
      <c r="E20" s="241"/>
      <c r="F20" s="244">
        <v>185</v>
      </c>
      <c r="G20" s="245"/>
      <c r="H20" s="355"/>
      <c r="I20" s="356"/>
      <c r="J20" s="355">
        <v>1958</v>
      </c>
      <c r="K20" s="356"/>
      <c r="L20" s="342"/>
      <c r="M20" s="343"/>
      <c r="N20" s="342">
        <f t="shared" si="0"/>
        <v>1058.3783783783783</v>
      </c>
      <c r="O20" s="343"/>
    </row>
    <row r="21" spans="1:15" s="2" customFormat="1" ht="20.100000000000001" customHeight="1">
      <c r="A21" s="341" t="s">
        <v>271</v>
      </c>
      <c r="B21" s="341"/>
      <c r="C21" s="341"/>
      <c r="D21" s="240">
        <v>810</v>
      </c>
      <c r="E21" s="241"/>
      <c r="F21" s="244">
        <v>804</v>
      </c>
      <c r="G21" s="245"/>
      <c r="H21" s="355"/>
      <c r="I21" s="356"/>
      <c r="J21" s="355">
        <v>1666</v>
      </c>
      <c r="K21" s="356"/>
      <c r="L21" s="342"/>
      <c r="M21" s="343"/>
      <c r="N21" s="342">
        <f>J21/F21*100</f>
        <v>207.21393034825871</v>
      </c>
      <c r="O21" s="343"/>
    </row>
    <row r="22" spans="1:15" s="2" customFormat="1" ht="20.100000000000001" customHeight="1">
      <c r="A22" s="336" t="s">
        <v>292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8"/>
      <c r="L22" s="342"/>
      <c r="M22" s="343"/>
      <c r="N22" s="342"/>
      <c r="O22" s="343"/>
    </row>
    <row r="23" spans="1:15" s="2" customFormat="1" ht="20.100000000000001" customHeight="1">
      <c r="A23" s="341" t="s">
        <v>270</v>
      </c>
      <c r="B23" s="341"/>
      <c r="C23" s="341"/>
      <c r="D23" s="240">
        <f t="shared" ref="D23" si="1">D19</f>
        <v>95</v>
      </c>
      <c r="E23" s="241"/>
      <c r="F23" s="240">
        <f t="shared" ref="F23" si="2">F19</f>
        <v>115</v>
      </c>
      <c r="G23" s="241"/>
      <c r="H23" s="355">
        <f t="shared" ref="H23:J23" si="3">H19</f>
        <v>0</v>
      </c>
      <c r="I23" s="356"/>
      <c r="J23" s="355">
        <f t="shared" si="3"/>
        <v>208</v>
      </c>
      <c r="K23" s="356"/>
      <c r="L23" s="342"/>
      <c r="M23" s="343"/>
      <c r="N23" s="342">
        <f t="shared" si="0"/>
        <v>180.86956521739131</v>
      </c>
      <c r="O23" s="343"/>
    </row>
    <row r="24" spans="1:15" s="2" customFormat="1" ht="20.100000000000001" customHeight="1">
      <c r="A24" s="341" t="s">
        <v>295</v>
      </c>
      <c r="B24" s="341"/>
      <c r="C24" s="341"/>
      <c r="D24" s="240">
        <f t="shared" ref="D24" si="4">D20</f>
        <v>199</v>
      </c>
      <c r="E24" s="241"/>
      <c r="F24" s="240">
        <f t="shared" ref="F24" si="5">F20</f>
        <v>185</v>
      </c>
      <c r="G24" s="241"/>
      <c r="H24" s="355">
        <f t="shared" ref="H24:J24" si="6">H20</f>
        <v>0</v>
      </c>
      <c r="I24" s="356"/>
      <c r="J24" s="355">
        <f t="shared" si="6"/>
        <v>1958</v>
      </c>
      <c r="K24" s="356"/>
      <c r="L24" s="342"/>
      <c r="M24" s="343"/>
      <c r="N24" s="342">
        <f t="shared" si="0"/>
        <v>1058.3783783783783</v>
      </c>
      <c r="O24" s="343"/>
    </row>
    <row r="25" spans="1:15" s="2" customFormat="1" ht="20.100000000000001" customHeight="1">
      <c r="A25" s="341" t="s">
        <v>271</v>
      </c>
      <c r="B25" s="341"/>
      <c r="C25" s="341"/>
      <c r="D25" s="240">
        <f t="shared" ref="D25" si="7">D21</f>
        <v>810</v>
      </c>
      <c r="E25" s="241"/>
      <c r="F25" s="240">
        <f t="shared" ref="F25" si="8">F21</f>
        <v>804</v>
      </c>
      <c r="G25" s="241"/>
      <c r="H25" s="355">
        <f t="shared" ref="H25" si="9">H21</f>
        <v>0</v>
      </c>
      <c r="I25" s="356"/>
      <c r="J25" s="355">
        <f>J21</f>
        <v>1666</v>
      </c>
      <c r="K25" s="356"/>
      <c r="L25" s="342"/>
      <c r="M25" s="343"/>
      <c r="N25" s="342">
        <f t="shared" si="0"/>
        <v>207.21393034825871</v>
      </c>
      <c r="O25" s="343"/>
    </row>
    <row r="26" spans="1:15" s="2" customFormat="1" ht="38.25" customHeight="1">
      <c r="A26" s="336" t="s">
        <v>319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8"/>
      <c r="L26" s="342"/>
      <c r="M26" s="343"/>
      <c r="N26" s="342"/>
      <c r="O26" s="343"/>
    </row>
    <row r="27" spans="1:15" s="2" customFormat="1" ht="20.100000000000001" customHeight="1">
      <c r="A27" s="341" t="s">
        <v>270</v>
      </c>
      <c r="B27" s="341"/>
      <c r="C27" s="341"/>
      <c r="D27" s="240">
        <f t="shared" ref="D27" si="10">D19/12*1000</f>
        <v>7916.666666666667</v>
      </c>
      <c r="E27" s="241"/>
      <c r="F27" s="240">
        <f t="shared" ref="F27" si="11">F19/12*1000</f>
        <v>9583.3333333333339</v>
      </c>
      <c r="G27" s="241"/>
      <c r="H27" s="355">
        <f t="shared" ref="H27" si="12">H19/12*1000</f>
        <v>0</v>
      </c>
      <c r="I27" s="356"/>
      <c r="J27" s="355">
        <f>J19/12*1000</f>
        <v>17333.333333333332</v>
      </c>
      <c r="K27" s="356"/>
      <c r="L27" s="342"/>
      <c r="M27" s="343"/>
      <c r="N27" s="342">
        <f t="shared" si="0"/>
        <v>180.86956521739128</v>
      </c>
      <c r="O27" s="343"/>
    </row>
    <row r="28" spans="1:15" s="2" customFormat="1" ht="20.100000000000001" customHeight="1">
      <c r="A28" s="341" t="s">
        <v>295</v>
      </c>
      <c r="B28" s="341"/>
      <c r="C28" s="341"/>
      <c r="D28" s="240">
        <f t="shared" ref="D28" si="13">D20/12/6*1000</f>
        <v>2763.8888888888887</v>
      </c>
      <c r="E28" s="241"/>
      <c r="F28" s="240">
        <f>F20/12/7*1000</f>
        <v>2202.3809523809523</v>
      </c>
      <c r="G28" s="241"/>
      <c r="H28" s="355">
        <f>H20/12/7*1000</f>
        <v>0</v>
      </c>
      <c r="I28" s="356"/>
      <c r="J28" s="355">
        <f>J20/12/15*1000</f>
        <v>10877.777777777776</v>
      </c>
      <c r="K28" s="356"/>
      <c r="L28" s="342"/>
      <c r="M28" s="343"/>
      <c r="N28" s="342">
        <f t="shared" si="0"/>
        <v>493.90990990990986</v>
      </c>
      <c r="O28" s="343"/>
    </row>
    <row r="29" spans="1:15" s="2" customFormat="1" ht="20.100000000000001" customHeight="1">
      <c r="A29" s="341" t="s">
        <v>271</v>
      </c>
      <c r="B29" s="341"/>
      <c r="C29" s="341"/>
      <c r="D29" s="240">
        <f t="shared" ref="D29" si="14">D21/12/34*1000</f>
        <v>1985.2941176470588</v>
      </c>
      <c r="E29" s="241"/>
      <c r="F29" s="240">
        <f>F21/12/33*1000</f>
        <v>2030.3030303030303</v>
      </c>
      <c r="G29" s="241"/>
      <c r="H29" s="355">
        <f>H21/12/33*1000</f>
        <v>0</v>
      </c>
      <c r="I29" s="356"/>
      <c r="J29" s="355">
        <f>J21/12/25*1000</f>
        <v>5553.3333333333339</v>
      </c>
      <c r="K29" s="356"/>
      <c r="L29" s="342"/>
      <c r="M29" s="343"/>
      <c r="N29" s="342">
        <f t="shared" si="0"/>
        <v>273.52238805970154</v>
      </c>
      <c r="O29" s="343"/>
    </row>
    <row r="30" spans="1:15" s="2" customFormat="1" ht="20.100000000000001" customHeight="1">
      <c r="A30" s="336" t="s">
        <v>320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8"/>
      <c r="L30" s="342"/>
      <c r="M30" s="343"/>
      <c r="N30" s="342"/>
      <c r="O30" s="343"/>
    </row>
    <row r="31" spans="1:15" s="2" customFormat="1" ht="20.100000000000001" customHeight="1">
      <c r="A31" s="341" t="s">
        <v>270</v>
      </c>
      <c r="B31" s="341"/>
      <c r="C31" s="341"/>
      <c r="D31" s="240">
        <f t="shared" ref="D31" si="15">D27</f>
        <v>7916.666666666667</v>
      </c>
      <c r="E31" s="241"/>
      <c r="F31" s="240">
        <f t="shared" ref="F31" si="16">F27</f>
        <v>9583.3333333333339</v>
      </c>
      <c r="G31" s="241"/>
      <c r="H31" s="355">
        <f t="shared" ref="H31" si="17">H27</f>
        <v>0</v>
      </c>
      <c r="I31" s="356"/>
      <c r="J31" s="355">
        <f>J27</f>
        <v>17333.333333333332</v>
      </c>
      <c r="K31" s="356"/>
      <c r="L31" s="342"/>
      <c r="M31" s="343"/>
      <c r="N31" s="342">
        <f t="shared" si="0"/>
        <v>180.86956521739128</v>
      </c>
      <c r="O31" s="343"/>
    </row>
    <row r="32" spans="1:15" s="2" customFormat="1" ht="20.100000000000001" customHeight="1">
      <c r="A32" s="341" t="s">
        <v>295</v>
      </c>
      <c r="B32" s="341"/>
      <c r="C32" s="341"/>
      <c r="D32" s="240">
        <f t="shared" ref="D32" si="18">D28</f>
        <v>2763.8888888888887</v>
      </c>
      <c r="E32" s="241"/>
      <c r="F32" s="240">
        <f t="shared" ref="F32" si="19">F28</f>
        <v>2202.3809523809523</v>
      </c>
      <c r="G32" s="241"/>
      <c r="H32" s="355">
        <f t="shared" ref="H32" si="20">H28</f>
        <v>0</v>
      </c>
      <c r="I32" s="356"/>
      <c r="J32" s="355">
        <f t="shared" ref="J32:J33" si="21">J28</f>
        <v>10877.777777777776</v>
      </c>
      <c r="K32" s="356"/>
      <c r="L32" s="342"/>
      <c r="M32" s="343"/>
      <c r="N32" s="342">
        <f t="shared" si="0"/>
        <v>493.90990990990986</v>
      </c>
      <c r="O32" s="343"/>
    </row>
    <row r="33" spans="1:15" s="2" customFormat="1" ht="20.100000000000001" customHeight="1">
      <c r="A33" s="341" t="s">
        <v>271</v>
      </c>
      <c r="B33" s="341"/>
      <c r="C33" s="341"/>
      <c r="D33" s="240">
        <f t="shared" ref="D33" si="22">D29</f>
        <v>1985.2941176470588</v>
      </c>
      <c r="E33" s="241"/>
      <c r="F33" s="240">
        <f t="shared" ref="F33" si="23">F29</f>
        <v>2030.3030303030303</v>
      </c>
      <c r="G33" s="241"/>
      <c r="H33" s="355">
        <f t="shared" ref="H33" si="24">H29</f>
        <v>0</v>
      </c>
      <c r="I33" s="356"/>
      <c r="J33" s="355">
        <f t="shared" si="21"/>
        <v>5553.3333333333339</v>
      </c>
      <c r="K33" s="356"/>
      <c r="L33" s="342"/>
      <c r="M33" s="343"/>
      <c r="N33" s="342">
        <f t="shared" si="0"/>
        <v>273.52238805970154</v>
      </c>
      <c r="O33" s="343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354" t="s">
        <v>321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353" t="s">
        <v>322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</row>
    <row r="38" spans="1:15" ht="10.5" customHeight="1"/>
    <row r="39" spans="1:15" ht="60" customHeight="1">
      <c r="A39" s="38" t="s">
        <v>150</v>
      </c>
      <c r="B39" s="351" t="s">
        <v>323</v>
      </c>
      <c r="C39" s="352"/>
      <c r="D39" s="352"/>
      <c r="E39" s="352"/>
      <c r="F39" s="311" t="s">
        <v>92</v>
      </c>
      <c r="G39" s="311"/>
      <c r="H39" s="311"/>
      <c r="I39" s="311"/>
      <c r="J39" s="311"/>
      <c r="K39" s="311"/>
      <c r="L39" s="311"/>
      <c r="M39" s="311"/>
      <c r="N39" s="311"/>
      <c r="O39" s="311"/>
    </row>
    <row r="40" spans="1:15" ht="18" customHeight="1">
      <c r="A40" s="38">
        <v>1</v>
      </c>
      <c r="B40" s="351">
        <v>2</v>
      </c>
      <c r="C40" s="352"/>
      <c r="D40" s="352"/>
      <c r="E40" s="352"/>
      <c r="F40" s="311">
        <v>3</v>
      </c>
      <c r="G40" s="311"/>
      <c r="H40" s="311"/>
      <c r="I40" s="311"/>
      <c r="J40" s="311"/>
      <c r="K40" s="311"/>
      <c r="L40" s="311"/>
      <c r="M40" s="311"/>
      <c r="N40" s="311"/>
      <c r="O40" s="311"/>
    </row>
    <row r="41" spans="1:15" ht="20.100000000000001" customHeight="1">
      <c r="A41" s="157"/>
      <c r="B41" s="358"/>
      <c r="C41" s="359"/>
      <c r="D41" s="359"/>
      <c r="E41" s="359"/>
      <c r="F41" s="357"/>
      <c r="G41" s="357"/>
      <c r="H41" s="357"/>
      <c r="I41" s="357"/>
      <c r="J41" s="357"/>
      <c r="K41" s="357"/>
      <c r="L41" s="357"/>
      <c r="M41" s="357"/>
      <c r="N41" s="357"/>
      <c r="O41" s="357"/>
    </row>
    <row r="42" spans="1:15" ht="20.100000000000001" customHeight="1">
      <c r="A42" s="157"/>
      <c r="B42" s="358"/>
      <c r="C42" s="359"/>
      <c r="D42" s="359"/>
      <c r="E42" s="359"/>
      <c r="F42" s="357"/>
      <c r="G42" s="357"/>
      <c r="H42" s="357"/>
      <c r="I42" s="357"/>
      <c r="J42" s="357"/>
      <c r="K42" s="357"/>
      <c r="L42" s="357"/>
      <c r="M42" s="357"/>
      <c r="N42" s="357"/>
      <c r="O42" s="357"/>
    </row>
    <row r="43" spans="1:15" ht="20.100000000000001" customHeight="1">
      <c r="A43" s="157"/>
      <c r="B43" s="358"/>
      <c r="C43" s="359"/>
      <c r="D43" s="359"/>
      <c r="E43" s="359"/>
      <c r="F43" s="357"/>
      <c r="G43" s="357"/>
      <c r="H43" s="357"/>
      <c r="I43" s="357"/>
      <c r="J43" s="357"/>
      <c r="K43" s="357"/>
      <c r="L43" s="357"/>
      <c r="M43" s="357"/>
      <c r="N43" s="357"/>
      <c r="O43" s="357"/>
    </row>
    <row r="44" spans="1:15" ht="20.100000000000001" customHeight="1">
      <c r="A44" s="157"/>
      <c r="B44" s="358"/>
      <c r="C44" s="359"/>
      <c r="D44" s="359"/>
      <c r="E44" s="359"/>
      <c r="F44" s="357"/>
      <c r="G44" s="357"/>
      <c r="H44" s="357"/>
      <c r="I44" s="357"/>
      <c r="J44" s="357"/>
      <c r="K44" s="357"/>
      <c r="L44" s="357"/>
      <c r="M44" s="357"/>
      <c r="N44" s="357"/>
      <c r="O44" s="357"/>
    </row>
    <row r="45" spans="1:15" ht="20.100000000000001" customHeight="1">
      <c r="A45" s="157"/>
      <c r="B45" s="358"/>
      <c r="C45" s="359"/>
      <c r="D45" s="359"/>
      <c r="E45" s="359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20.100000000000001" customHeight="1">
      <c r="A46" s="157"/>
      <c r="B46" s="358"/>
      <c r="C46" s="359"/>
      <c r="D46" s="359"/>
      <c r="E46" s="359"/>
      <c r="F46" s="357"/>
      <c r="G46" s="357"/>
      <c r="H46" s="357"/>
      <c r="I46" s="357"/>
      <c r="J46" s="357"/>
      <c r="K46" s="357"/>
      <c r="L46" s="357"/>
      <c r="M46" s="357"/>
      <c r="N46" s="357"/>
      <c r="O46" s="357"/>
    </row>
    <row r="47" spans="1:15" ht="20.100000000000001" customHeight="1">
      <c r="A47" s="157"/>
      <c r="B47" s="358"/>
      <c r="C47" s="359"/>
      <c r="D47" s="359"/>
      <c r="E47" s="359"/>
      <c r="F47" s="357"/>
      <c r="G47" s="357"/>
      <c r="H47" s="357"/>
      <c r="I47" s="357"/>
      <c r="J47" s="357"/>
      <c r="K47" s="357"/>
      <c r="L47" s="357"/>
      <c r="M47" s="357"/>
      <c r="N47" s="357"/>
      <c r="O47" s="357"/>
    </row>
    <row r="48" spans="1:15" ht="20.100000000000001" customHeight="1">
      <c r="A48" s="157"/>
      <c r="B48" s="358"/>
      <c r="C48" s="359"/>
      <c r="D48" s="359"/>
      <c r="E48" s="359"/>
      <c r="F48" s="358"/>
      <c r="G48" s="359"/>
      <c r="H48" s="359"/>
      <c r="I48" s="359"/>
      <c r="J48" s="359"/>
      <c r="K48" s="359"/>
      <c r="L48" s="359"/>
      <c r="M48" s="359"/>
      <c r="N48" s="359"/>
      <c r="O48" s="362"/>
    </row>
    <row r="49" spans="1:15" ht="20.100000000000001" customHeight="1">
      <c r="A49" s="157"/>
      <c r="B49" s="358"/>
      <c r="C49" s="359"/>
      <c r="D49" s="359"/>
      <c r="E49" s="362"/>
      <c r="F49" s="358"/>
      <c r="G49" s="359"/>
      <c r="H49" s="359"/>
      <c r="I49" s="359"/>
      <c r="J49" s="359"/>
      <c r="K49" s="359"/>
      <c r="L49" s="359"/>
      <c r="M49" s="359"/>
      <c r="N49" s="359"/>
      <c r="O49" s="362"/>
    </row>
    <row r="50" spans="1:15" ht="20.100000000000001" customHeight="1">
      <c r="A50" s="7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360" t="s">
        <v>253</v>
      </c>
      <c r="B51" s="360"/>
      <c r="C51" s="360"/>
      <c r="D51" s="360"/>
      <c r="E51" s="360"/>
      <c r="F51" s="360"/>
      <c r="G51" s="360"/>
      <c r="H51" s="360"/>
      <c r="I51" s="360"/>
      <c r="J51" s="360"/>
    </row>
    <row r="52" spans="1:15" ht="20.100000000000001" customHeight="1">
      <c r="A52" s="19"/>
    </row>
    <row r="53" spans="1:15" ht="63.95" customHeight="1">
      <c r="A53" s="307" t="s">
        <v>272</v>
      </c>
      <c r="B53" s="307" t="s">
        <v>324</v>
      </c>
      <c r="C53" s="307"/>
      <c r="D53" s="361" t="s">
        <v>474</v>
      </c>
      <c r="E53" s="361"/>
      <c r="F53" s="361"/>
      <c r="G53" s="361" t="s">
        <v>475</v>
      </c>
      <c r="H53" s="361"/>
      <c r="I53" s="361"/>
      <c r="J53" s="363" t="s">
        <v>483</v>
      </c>
      <c r="K53" s="364"/>
      <c r="L53" s="365"/>
      <c r="M53" s="361" t="s">
        <v>476</v>
      </c>
      <c r="N53" s="361"/>
      <c r="O53" s="361"/>
    </row>
    <row r="54" spans="1:15" ht="168.75">
      <c r="A54" s="307"/>
      <c r="B54" s="7" t="s">
        <v>78</v>
      </c>
      <c r="C54" s="7" t="s">
        <v>79</v>
      </c>
      <c r="D54" s="7" t="s">
        <v>325</v>
      </c>
      <c r="E54" s="7" t="s">
        <v>326</v>
      </c>
      <c r="F54" s="7" t="s">
        <v>327</v>
      </c>
      <c r="G54" s="7" t="s">
        <v>325</v>
      </c>
      <c r="H54" s="7" t="s">
        <v>326</v>
      </c>
      <c r="I54" s="7" t="s">
        <v>327</v>
      </c>
      <c r="J54" s="7" t="s">
        <v>325</v>
      </c>
      <c r="K54" s="7" t="s">
        <v>326</v>
      </c>
      <c r="L54" s="7" t="s">
        <v>327</v>
      </c>
      <c r="M54" s="7" t="s">
        <v>325</v>
      </c>
      <c r="N54" s="7" t="s">
        <v>326</v>
      </c>
      <c r="O54" s="7" t="s">
        <v>327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58" t="s">
        <v>417</v>
      </c>
      <c r="B56" s="107">
        <v>100</v>
      </c>
      <c r="C56" s="107">
        <v>100</v>
      </c>
      <c r="D56" s="267">
        <v>1044</v>
      </c>
      <c r="E56" s="262">
        <v>115</v>
      </c>
      <c r="F56" s="169">
        <f>D56/E56*1000</f>
        <v>9078.2608695652179</v>
      </c>
      <c r="G56" s="267"/>
      <c r="H56" s="267"/>
      <c r="I56" s="228"/>
      <c r="J56" s="267">
        <v>924</v>
      </c>
      <c r="K56" s="267">
        <v>115</v>
      </c>
      <c r="L56" s="228">
        <f>J56/K56*1000</f>
        <v>8034.782608695652</v>
      </c>
      <c r="M56" s="267">
        <v>1024</v>
      </c>
      <c r="N56" s="267">
        <v>109</v>
      </c>
      <c r="O56" s="228">
        <f>M56/N56*1000</f>
        <v>9394.4954128440368</v>
      </c>
    </row>
    <row r="57" spans="1:15" ht="20.100000000000001" customHeight="1">
      <c r="A57" s="159" t="s">
        <v>60</v>
      </c>
      <c r="B57" s="76">
        <v>100</v>
      </c>
      <c r="C57" s="76">
        <v>100</v>
      </c>
      <c r="D57" s="93">
        <v>895</v>
      </c>
      <c r="E57" s="107"/>
      <c r="F57" s="143"/>
      <c r="G57" s="93">
        <f>SUM(G56:G56)</f>
        <v>0</v>
      </c>
      <c r="H57" s="143"/>
      <c r="I57" s="143"/>
      <c r="J57" s="93">
        <f>SUM(J56:J56)</f>
        <v>924</v>
      </c>
      <c r="K57" s="143"/>
      <c r="L57" s="143"/>
      <c r="M57" s="243">
        <f>SUM(M56:M56)</f>
        <v>1024</v>
      </c>
      <c r="N57" s="143"/>
      <c r="O57" s="143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353" t="s">
        <v>80</v>
      </c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</row>
    <row r="60" spans="1:15" ht="20.100000000000001" customHeight="1">
      <c r="A60" s="19"/>
    </row>
    <row r="61" spans="1:15" ht="63.95" customHeight="1">
      <c r="A61" s="7" t="s">
        <v>140</v>
      </c>
      <c r="B61" s="307" t="s">
        <v>77</v>
      </c>
      <c r="C61" s="307"/>
      <c r="D61" s="307" t="s">
        <v>72</v>
      </c>
      <c r="E61" s="307"/>
      <c r="F61" s="307" t="s">
        <v>73</v>
      </c>
      <c r="G61" s="307"/>
      <c r="H61" s="307" t="s">
        <v>328</v>
      </c>
      <c r="I61" s="307"/>
      <c r="J61" s="307"/>
      <c r="K61" s="366" t="s">
        <v>93</v>
      </c>
      <c r="L61" s="368"/>
      <c r="M61" s="366" t="s">
        <v>37</v>
      </c>
      <c r="N61" s="367"/>
      <c r="O61" s="368"/>
    </row>
    <row r="62" spans="1:15" ht="18" customHeight="1">
      <c r="A62" s="6">
        <v>1</v>
      </c>
      <c r="B62" s="311">
        <v>2</v>
      </c>
      <c r="C62" s="311"/>
      <c r="D62" s="311">
        <v>3</v>
      </c>
      <c r="E62" s="311"/>
      <c r="F62" s="371">
        <v>4</v>
      </c>
      <c r="G62" s="371"/>
      <c r="H62" s="311">
        <v>5</v>
      </c>
      <c r="I62" s="311"/>
      <c r="J62" s="311"/>
      <c r="K62" s="311">
        <v>6</v>
      </c>
      <c r="L62" s="311"/>
      <c r="M62" s="351">
        <v>7</v>
      </c>
      <c r="N62" s="352"/>
      <c r="O62" s="369"/>
    </row>
    <row r="63" spans="1:15" ht="20.100000000000001" customHeight="1">
      <c r="A63" s="158"/>
      <c r="B63" s="370"/>
      <c r="C63" s="370"/>
      <c r="D63" s="370"/>
      <c r="E63" s="370"/>
      <c r="F63" s="370"/>
      <c r="G63" s="370"/>
      <c r="H63" s="370"/>
      <c r="I63" s="370"/>
      <c r="J63" s="370"/>
      <c r="K63" s="372"/>
      <c r="L63" s="373"/>
      <c r="M63" s="370"/>
      <c r="N63" s="370"/>
      <c r="O63" s="370"/>
    </row>
    <row r="64" spans="1:15" ht="20.100000000000001" customHeight="1">
      <c r="A64" s="158"/>
      <c r="B64" s="372"/>
      <c r="C64" s="373"/>
      <c r="D64" s="372"/>
      <c r="E64" s="373"/>
      <c r="F64" s="372"/>
      <c r="G64" s="373"/>
      <c r="H64" s="372"/>
      <c r="I64" s="375"/>
      <c r="J64" s="373"/>
      <c r="K64" s="372"/>
      <c r="L64" s="373"/>
      <c r="M64" s="372"/>
      <c r="N64" s="375"/>
      <c r="O64" s="373"/>
    </row>
    <row r="65" spans="1:15" ht="20.100000000000001" customHeight="1">
      <c r="A65" s="158"/>
      <c r="B65" s="370"/>
      <c r="C65" s="370"/>
      <c r="D65" s="370"/>
      <c r="E65" s="370"/>
      <c r="F65" s="370"/>
      <c r="G65" s="370"/>
      <c r="H65" s="370"/>
      <c r="I65" s="370"/>
      <c r="J65" s="370"/>
      <c r="K65" s="372"/>
      <c r="L65" s="373"/>
      <c r="M65" s="370"/>
      <c r="N65" s="370"/>
      <c r="O65" s="370"/>
    </row>
    <row r="66" spans="1:15" ht="20.100000000000001" customHeight="1">
      <c r="A66" s="159" t="s">
        <v>60</v>
      </c>
      <c r="B66" s="374" t="s">
        <v>38</v>
      </c>
      <c r="C66" s="374"/>
      <c r="D66" s="374" t="s">
        <v>38</v>
      </c>
      <c r="E66" s="374"/>
      <c r="F66" s="374" t="s">
        <v>38</v>
      </c>
      <c r="G66" s="374"/>
      <c r="H66" s="370"/>
      <c r="I66" s="370"/>
      <c r="J66" s="370"/>
      <c r="K66" s="381">
        <f>SUM(K63:L65)</f>
        <v>0</v>
      </c>
      <c r="L66" s="382"/>
      <c r="M66" s="370"/>
      <c r="N66" s="370"/>
      <c r="O66" s="370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353" t="s">
        <v>81</v>
      </c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361" t="s">
        <v>71</v>
      </c>
      <c r="B70" s="361"/>
      <c r="C70" s="361"/>
      <c r="D70" s="361" t="s">
        <v>94</v>
      </c>
      <c r="E70" s="361"/>
      <c r="F70" s="361"/>
      <c r="G70" s="361" t="s">
        <v>353</v>
      </c>
      <c r="H70" s="361"/>
      <c r="I70" s="361"/>
      <c r="J70" s="361" t="s">
        <v>347</v>
      </c>
      <c r="K70" s="361"/>
      <c r="L70" s="361"/>
      <c r="M70" s="361" t="s">
        <v>95</v>
      </c>
      <c r="N70" s="361"/>
      <c r="O70" s="361"/>
    </row>
    <row r="71" spans="1:15" ht="18" customHeight="1">
      <c r="A71" s="361">
        <v>1</v>
      </c>
      <c r="B71" s="361"/>
      <c r="C71" s="361"/>
      <c r="D71" s="361">
        <v>2</v>
      </c>
      <c r="E71" s="361"/>
      <c r="F71" s="361"/>
      <c r="G71" s="361">
        <v>3</v>
      </c>
      <c r="H71" s="361"/>
      <c r="I71" s="361"/>
      <c r="J71" s="376">
        <v>4</v>
      </c>
      <c r="K71" s="376"/>
      <c r="L71" s="376"/>
      <c r="M71" s="376">
        <v>5</v>
      </c>
      <c r="N71" s="376"/>
      <c r="O71" s="376"/>
    </row>
    <row r="72" spans="1:15" ht="20.100000000000001" customHeight="1">
      <c r="A72" s="383" t="s">
        <v>329</v>
      </c>
      <c r="B72" s="383"/>
      <c r="C72" s="383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</row>
    <row r="73" spans="1:15" ht="20.100000000000001" customHeight="1">
      <c r="A73" s="383" t="s">
        <v>116</v>
      </c>
      <c r="B73" s="383"/>
      <c r="C73" s="383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</row>
    <row r="74" spans="1:15" ht="20.100000000000001" customHeight="1">
      <c r="A74" s="383"/>
      <c r="B74" s="383"/>
      <c r="C74" s="383"/>
      <c r="D74" s="378"/>
      <c r="E74" s="379"/>
      <c r="F74" s="380"/>
      <c r="G74" s="378"/>
      <c r="H74" s="379"/>
      <c r="I74" s="380"/>
      <c r="J74" s="378"/>
      <c r="K74" s="379"/>
      <c r="L74" s="380"/>
      <c r="M74" s="378"/>
      <c r="N74" s="379"/>
      <c r="O74" s="380"/>
    </row>
    <row r="75" spans="1:15" ht="20.100000000000001" customHeight="1">
      <c r="A75" s="383" t="s">
        <v>330</v>
      </c>
      <c r="B75" s="383"/>
      <c r="C75" s="383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</row>
    <row r="76" spans="1:15" ht="20.100000000000001" customHeight="1">
      <c r="A76" s="383" t="s">
        <v>117</v>
      </c>
      <c r="B76" s="383"/>
      <c r="C76" s="383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</row>
    <row r="77" spans="1:15" ht="20.100000000000001" customHeight="1">
      <c r="A77" s="383"/>
      <c r="B77" s="383"/>
      <c r="C77" s="383"/>
      <c r="D77" s="378"/>
      <c r="E77" s="379"/>
      <c r="F77" s="380"/>
      <c r="G77" s="378"/>
      <c r="H77" s="379"/>
      <c r="I77" s="380"/>
      <c r="J77" s="378"/>
      <c r="K77" s="379"/>
      <c r="L77" s="380"/>
      <c r="M77" s="378"/>
      <c r="N77" s="379"/>
      <c r="O77" s="380"/>
    </row>
    <row r="78" spans="1:15" ht="20.100000000000001" customHeight="1">
      <c r="A78" s="383" t="s">
        <v>331</v>
      </c>
      <c r="B78" s="383"/>
      <c r="C78" s="383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</row>
    <row r="79" spans="1:15" ht="20.100000000000001" customHeight="1">
      <c r="A79" s="383" t="s">
        <v>116</v>
      </c>
      <c r="B79" s="383"/>
      <c r="C79" s="383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</row>
    <row r="80" spans="1:15" ht="20.100000000000001" customHeight="1">
      <c r="A80" s="277"/>
      <c r="B80" s="270"/>
      <c r="C80" s="384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</row>
    <row r="81" spans="1:15" ht="20.100000000000001" customHeight="1">
      <c r="A81" s="277" t="s">
        <v>60</v>
      </c>
      <c r="B81" s="270"/>
      <c r="C81" s="384"/>
      <c r="D81" s="385"/>
      <c r="E81" s="385"/>
      <c r="F81" s="385"/>
      <c r="G81" s="385"/>
      <c r="H81" s="385"/>
      <c r="I81" s="385"/>
      <c r="J81" s="377"/>
      <c r="K81" s="377"/>
      <c r="L81" s="377"/>
      <c r="M81" s="377"/>
      <c r="N81" s="377"/>
      <c r="O81" s="377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60" showPageBreaks="1" printArea="1" view="pageBreakPreview" topLeftCell="A37">
      <selection activeCell="J53" sqref="J53:L53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66"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A51:J51"/>
    <mergeCell ref="B53:C53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L16:M16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A5:O5"/>
    <mergeCell ref="H12:I12"/>
    <mergeCell ref="J12:K12"/>
    <mergeCell ref="A1:O1"/>
    <mergeCell ref="A2:O2"/>
    <mergeCell ref="A3:O3"/>
    <mergeCell ref="D9:E9"/>
    <mergeCell ref="F9:G9"/>
    <mergeCell ref="A9:C9"/>
    <mergeCell ref="A4:O4"/>
    <mergeCell ref="A7:O7"/>
    <mergeCell ref="J9:K9"/>
    <mergeCell ref="H9:I9"/>
    <mergeCell ref="A10:C10"/>
    <mergeCell ref="N10:O10"/>
    <mergeCell ref="N11:O11"/>
    <mergeCell ref="L11:M11"/>
    <mergeCell ref="J10:K10"/>
    <mergeCell ref="D10:E10"/>
    <mergeCell ref="F10:G10"/>
    <mergeCell ref="L9:M9"/>
    <mergeCell ref="N9:O9"/>
    <mergeCell ref="L10:M10"/>
    <mergeCell ref="L12:M12"/>
    <mergeCell ref="N12:O12"/>
    <mergeCell ref="H10:I10"/>
    <mergeCell ref="J14:K14"/>
    <mergeCell ref="H14:I14"/>
    <mergeCell ref="A13:C13"/>
    <mergeCell ref="N14:O14"/>
    <mergeCell ref="N13:O13"/>
    <mergeCell ref="A14:C14"/>
    <mergeCell ref="H13:I13"/>
    <mergeCell ref="L13:M13"/>
    <mergeCell ref="J13:K13"/>
    <mergeCell ref="F12:G12"/>
    <mergeCell ref="F13:G13"/>
    <mergeCell ref="F14:G14"/>
    <mergeCell ref="A11:K11"/>
    <mergeCell ref="L14:M14"/>
    <mergeCell ref="A22:K22"/>
    <mergeCell ref="A26:K26"/>
    <mergeCell ref="A30:K30"/>
    <mergeCell ref="D12:E12"/>
    <mergeCell ref="D13:E13"/>
    <mergeCell ref="D14:E14"/>
    <mergeCell ref="D15:E15"/>
    <mergeCell ref="D16:E16"/>
    <mergeCell ref="D17:E17"/>
    <mergeCell ref="A12:C12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3"/>
  <headerFooter alignWithMargins="0"/>
  <rowBreaks count="1" manualBreakCount="1">
    <brk id="49" max="14" man="1"/>
  </rowBreaks>
  <ignoredErrors>
    <ignoredError sqref="E57:M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view="pageBreakPreview" topLeftCell="A37" zoomScale="70" zoomScaleNormal="60" zoomScaleSheetLayoutView="70" workbookViewId="0">
      <selection activeCell="B27" sqref="B27:F29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399"/>
      <c r="AC1" s="400"/>
      <c r="AD1" s="400"/>
      <c r="AE1" s="400"/>
    </row>
    <row r="2" spans="1:31" ht="18.75" customHeight="1">
      <c r="B2" s="39" t="s">
        <v>254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8.75" customHeight="1">
      <c r="A4" s="334" t="s">
        <v>55</v>
      </c>
      <c r="B4" s="334" t="s">
        <v>209</v>
      </c>
      <c r="C4" s="431" t="s">
        <v>210</v>
      </c>
      <c r="D4" s="432"/>
      <c r="E4" s="432"/>
      <c r="F4" s="433"/>
      <c r="G4" s="431" t="s">
        <v>343</v>
      </c>
      <c r="H4" s="432"/>
      <c r="I4" s="432"/>
      <c r="J4" s="432"/>
      <c r="K4" s="432"/>
      <c r="L4" s="433"/>
      <c r="M4" s="431" t="s">
        <v>211</v>
      </c>
      <c r="N4" s="432"/>
      <c r="O4" s="432"/>
      <c r="P4" s="433"/>
      <c r="Q4" s="351" t="s">
        <v>301</v>
      </c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69"/>
    </row>
    <row r="5" spans="1:31" ht="48.75" customHeight="1">
      <c r="A5" s="335"/>
      <c r="B5" s="335"/>
      <c r="C5" s="434"/>
      <c r="D5" s="435"/>
      <c r="E5" s="435"/>
      <c r="F5" s="436"/>
      <c r="G5" s="434"/>
      <c r="H5" s="435"/>
      <c r="I5" s="435"/>
      <c r="J5" s="435"/>
      <c r="K5" s="435"/>
      <c r="L5" s="436"/>
      <c r="M5" s="434"/>
      <c r="N5" s="435"/>
      <c r="O5" s="435"/>
      <c r="P5" s="436"/>
      <c r="Q5" s="366" t="s">
        <v>212</v>
      </c>
      <c r="R5" s="367"/>
      <c r="S5" s="368"/>
      <c r="T5" s="366" t="s">
        <v>213</v>
      </c>
      <c r="U5" s="367"/>
      <c r="V5" s="368"/>
      <c r="W5" s="366" t="s">
        <v>43</v>
      </c>
      <c r="X5" s="367"/>
      <c r="Y5" s="368"/>
      <c r="Z5" s="351" t="s">
        <v>214</v>
      </c>
      <c r="AA5" s="352"/>
      <c r="AB5" s="369"/>
      <c r="AC5" s="351" t="s">
        <v>215</v>
      </c>
      <c r="AD5" s="352"/>
      <c r="AE5" s="369"/>
    </row>
    <row r="6" spans="1:31" ht="18" customHeight="1">
      <c r="A6" s="64">
        <v>1</v>
      </c>
      <c r="B6" s="65">
        <v>2</v>
      </c>
      <c r="C6" s="425">
        <v>3</v>
      </c>
      <c r="D6" s="426"/>
      <c r="E6" s="426"/>
      <c r="F6" s="427"/>
      <c r="G6" s="425">
        <v>4</v>
      </c>
      <c r="H6" s="426"/>
      <c r="I6" s="426"/>
      <c r="J6" s="426"/>
      <c r="K6" s="426"/>
      <c r="L6" s="427"/>
      <c r="M6" s="425">
        <v>5</v>
      </c>
      <c r="N6" s="426"/>
      <c r="O6" s="426"/>
      <c r="P6" s="427"/>
      <c r="Q6" s="425">
        <v>6</v>
      </c>
      <c r="R6" s="426"/>
      <c r="S6" s="427"/>
      <c r="T6" s="425">
        <v>7</v>
      </c>
      <c r="U6" s="426"/>
      <c r="V6" s="427"/>
      <c r="W6" s="422">
        <v>8</v>
      </c>
      <c r="X6" s="423"/>
      <c r="Y6" s="424"/>
      <c r="Z6" s="422">
        <v>9</v>
      </c>
      <c r="AA6" s="423"/>
      <c r="AB6" s="424"/>
      <c r="AC6" s="422">
        <v>10</v>
      </c>
      <c r="AD6" s="423"/>
      <c r="AE6" s="424"/>
    </row>
    <row r="7" spans="1:31" ht="41.25" customHeight="1">
      <c r="A7" s="239">
        <v>1</v>
      </c>
      <c r="B7" s="242" t="s">
        <v>399</v>
      </c>
      <c r="C7" s="366">
        <v>2006</v>
      </c>
      <c r="D7" s="367"/>
      <c r="E7" s="367"/>
      <c r="F7" s="368"/>
      <c r="G7" s="416" t="s">
        <v>402</v>
      </c>
      <c r="H7" s="417"/>
      <c r="I7" s="417"/>
      <c r="J7" s="417"/>
      <c r="K7" s="417"/>
      <c r="L7" s="418"/>
      <c r="M7" s="413">
        <f>SUM(Q7,T7,W7,Z7,AC7)</f>
        <v>52</v>
      </c>
      <c r="N7" s="414"/>
      <c r="O7" s="414"/>
      <c r="P7" s="415"/>
      <c r="Q7" s="419">
        <v>44</v>
      </c>
      <c r="R7" s="420"/>
      <c r="S7" s="421"/>
      <c r="T7" s="428"/>
      <c r="U7" s="429"/>
      <c r="V7" s="430"/>
      <c r="W7" s="428"/>
      <c r="X7" s="429"/>
      <c r="Y7" s="430"/>
      <c r="Z7" s="419">
        <v>8</v>
      </c>
      <c r="AA7" s="420"/>
      <c r="AB7" s="421"/>
      <c r="AC7" s="428"/>
      <c r="AD7" s="429"/>
      <c r="AE7" s="430"/>
    </row>
    <row r="8" spans="1:31" ht="41.25" customHeight="1">
      <c r="A8" s="239">
        <v>2</v>
      </c>
      <c r="B8" s="242" t="s">
        <v>400</v>
      </c>
      <c r="C8" s="366">
        <v>1996</v>
      </c>
      <c r="D8" s="367"/>
      <c r="E8" s="367"/>
      <c r="F8" s="368"/>
      <c r="G8" s="416" t="s">
        <v>402</v>
      </c>
      <c r="H8" s="417"/>
      <c r="I8" s="417"/>
      <c r="J8" s="417"/>
      <c r="K8" s="417"/>
      <c r="L8" s="418"/>
      <c r="M8" s="413">
        <f>SUM(Q8,T8,W8,Z8,AC8)</f>
        <v>24</v>
      </c>
      <c r="N8" s="414"/>
      <c r="O8" s="414"/>
      <c r="P8" s="415"/>
      <c r="Q8" s="419">
        <v>19</v>
      </c>
      <c r="R8" s="420"/>
      <c r="S8" s="421"/>
      <c r="T8" s="428"/>
      <c r="U8" s="429"/>
      <c r="V8" s="430"/>
      <c r="W8" s="428"/>
      <c r="X8" s="429"/>
      <c r="Y8" s="430"/>
      <c r="Z8" s="419">
        <v>5</v>
      </c>
      <c r="AA8" s="420"/>
      <c r="AB8" s="421"/>
      <c r="AC8" s="428"/>
      <c r="AD8" s="429"/>
      <c r="AE8" s="430"/>
    </row>
    <row r="9" spans="1:31" ht="41.25" customHeight="1">
      <c r="A9" s="239">
        <v>3</v>
      </c>
      <c r="B9" s="242" t="s">
        <v>401</v>
      </c>
      <c r="C9" s="366">
        <v>2011</v>
      </c>
      <c r="D9" s="367"/>
      <c r="E9" s="367"/>
      <c r="F9" s="368"/>
      <c r="G9" s="416" t="s">
        <v>402</v>
      </c>
      <c r="H9" s="417"/>
      <c r="I9" s="417"/>
      <c r="J9" s="417"/>
      <c r="K9" s="417"/>
      <c r="L9" s="418"/>
      <c r="M9" s="413">
        <f>SUM(Q9,T9,W9,Z9,AC9)</f>
        <v>58</v>
      </c>
      <c r="N9" s="414"/>
      <c r="O9" s="414"/>
      <c r="P9" s="415"/>
      <c r="Q9" s="419">
        <v>42</v>
      </c>
      <c r="R9" s="420"/>
      <c r="S9" s="421"/>
      <c r="T9" s="428"/>
      <c r="U9" s="429"/>
      <c r="V9" s="430"/>
      <c r="W9" s="428"/>
      <c r="X9" s="429"/>
      <c r="Y9" s="430"/>
      <c r="Z9" s="419">
        <v>16</v>
      </c>
      <c r="AA9" s="420"/>
      <c r="AB9" s="421"/>
      <c r="AC9" s="428"/>
      <c r="AD9" s="429"/>
      <c r="AE9" s="430"/>
    </row>
    <row r="10" spans="1:31" ht="42" customHeight="1">
      <c r="A10" s="239">
        <v>4</v>
      </c>
      <c r="B10" s="242" t="s">
        <v>472</v>
      </c>
      <c r="C10" s="366">
        <v>2016</v>
      </c>
      <c r="D10" s="367"/>
      <c r="E10" s="367"/>
      <c r="F10" s="368"/>
      <c r="G10" s="416" t="s">
        <v>402</v>
      </c>
      <c r="H10" s="417"/>
      <c r="I10" s="417"/>
      <c r="J10" s="417"/>
      <c r="K10" s="417"/>
      <c r="L10" s="418"/>
      <c r="M10" s="413">
        <f>SUM(Q10,T10,W10,Z10,AC10)</f>
        <v>25</v>
      </c>
      <c r="N10" s="414"/>
      <c r="O10" s="414"/>
      <c r="P10" s="415"/>
      <c r="Q10" s="419">
        <v>23</v>
      </c>
      <c r="R10" s="420"/>
      <c r="S10" s="421"/>
      <c r="T10" s="428"/>
      <c r="U10" s="429"/>
      <c r="V10" s="430"/>
      <c r="W10" s="428"/>
      <c r="X10" s="429"/>
      <c r="Y10" s="430"/>
      <c r="Z10" s="419">
        <v>2</v>
      </c>
      <c r="AA10" s="420"/>
      <c r="AB10" s="421"/>
      <c r="AC10" s="428"/>
      <c r="AD10" s="429"/>
      <c r="AE10" s="430"/>
    </row>
    <row r="11" spans="1:31" ht="20.100000000000001" customHeight="1">
      <c r="A11" s="410" t="s">
        <v>60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2"/>
      <c r="M11" s="413">
        <f>SUM(M7:P10)</f>
        <v>159</v>
      </c>
      <c r="N11" s="414"/>
      <c r="O11" s="414"/>
      <c r="P11" s="415"/>
      <c r="Q11" s="413">
        <f>SUM(Q7:S10)</f>
        <v>128</v>
      </c>
      <c r="R11" s="414"/>
      <c r="S11" s="415"/>
      <c r="T11" s="413">
        <f>SUM(T7:V10)</f>
        <v>0</v>
      </c>
      <c r="U11" s="414"/>
      <c r="V11" s="415"/>
      <c r="W11" s="413">
        <f>SUM(W7:Y10)</f>
        <v>0</v>
      </c>
      <c r="X11" s="414"/>
      <c r="Y11" s="415"/>
      <c r="Z11" s="413">
        <f>SUM(Z7:AB10)</f>
        <v>31</v>
      </c>
      <c r="AA11" s="414"/>
      <c r="AB11" s="415"/>
      <c r="AC11" s="413">
        <f>SUM(AC7:AE10)</f>
        <v>0</v>
      </c>
      <c r="AD11" s="414"/>
      <c r="AE11" s="415"/>
    </row>
    <row r="12" spans="1:31" ht="18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4"/>
      <c r="P12" s="34"/>
      <c r="Q12" s="55"/>
      <c r="R12" s="55"/>
      <c r="S12" s="55"/>
      <c r="T12" s="55"/>
      <c r="U12" s="55"/>
      <c r="V12" s="55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s="39" customFormat="1" ht="18.75" customHeight="1">
      <c r="B13" s="39" t="s">
        <v>255</v>
      </c>
    </row>
    <row r="14" spans="1:31" s="39" customFormat="1" ht="18.75" customHeight="1"/>
    <row r="15" spans="1:31" ht="18.75" customHeight="1">
      <c r="A15" s="319" t="s">
        <v>55</v>
      </c>
      <c r="B15" s="319" t="s">
        <v>216</v>
      </c>
      <c r="C15" s="307" t="s">
        <v>209</v>
      </c>
      <c r="D15" s="307"/>
      <c r="E15" s="307"/>
      <c r="F15" s="307"/>
      <c r="G15" s="307" t="s">
        <v>343</v>
      </c>
      <c r="H15" s="307"/>
      <c r="I15" s="307"/>
      <c r="J15" s="307"/>
      <c r="K15" s="307"/>
      <c r="L15" s="307"/>
      <c r="M15" s="307"/>
      <c r="N15" s="307"/>
      <c r="O15" s="307"/>
      <c r="P15" s="307"/>
      <c r="Q15" s="307" t="s">
        <v>217</v>
      </c>
      <c r="R15" s="307"/>
      <c r="S15" s="307"/>
      <c r="T15" s="307"/>
      <c r="U15" s="307"/>
      <c r="V15" s="311" t="s">
        <v>218</v>
      </c>
      <c r="W15" s="311"/>
      <c r="X15" s="311"/>
      <c r="Y15" s="311"/>
      <c r="Z15" s="311"/>
      <c r="AA15" s="311"/>
      <c r="AB15" s="311"/>
      <c r="AC15" s="311"/>
      <c r="AD15" s="311"/>
      <c r="AE15" s="311"/>
    </row>
    <row r="16" spans="1:31" ht="18.75" customHeight="1">
      <c r="A16" s="319"/>
      <c r="B16" s="319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11" t="s">
        <v>219</v>
      </c>
      <c r="W16" s="311"/>
      <c r="X16" s="311" t="s">
        <v>105</v>
      </c>
      <c r="Y16" s="311"/>
      <c r="Z16" s="311"/>
      <c r="AA16" s="311"/>
      <c r="AB16" s="311"/>
      <c r="AC16" s="311"/>
      <c r="AD16" s="311"/>
      <c r="AE16" s="311"/>
    </row>
    <row r="17" spans="1:31" ht="18.75" customHeight="1">
      <c r="A17" s="319"/>
      <c r="B17" s="319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11"/>
      <c r="W17" s="311"/>
      <c r="X17" s="311" t="s">
        <v>374</v>
      </c>
      <c r="Y17" s="311"/>
      <c r="Z17" s="311" t="s">
        <v>366</v>
      </c>
      <c r="AA17" s="311"/>
      <c r="AB17" s="311" t="s">
        <v>367</v>
      </c>
      <c r="AC17" s="311"/>
      <c r="AD17" s="311" t="s">
        <v>86</v>
      </c>
      <c r="AE17" s="311"/>
    </row>
    <row r="18" spans="1:31" ht="18" customHeight="1">
      <c r="A18" s="64">
        <v>1</v>
      </c>
      <c r="B18" s="64">
        <v>2</v>
      </c>
      <c r="C18" s="316">
        <v>3</v>
      </c>
      <c r="D18" s="316"/>
      <c r="E18" s="316"/>
      <c r="F18" s="316"/>
      <c r="G18" s="316">
        <v>4</v>
      </c>
      <c r="H18" s="316"/>
      <c r="I18" s="316"/>
      <c r="J18" s="316"/>
      <c r="K18" s="316"/>
      <c r="L18" s="316"/>
      <c r="M18" s="316"/>
      <c r="N18" s="316"/>
      <c r="O18" s="316"/>
      <c r="P18" s="316"/>
      <c r="Q18" s="316">
        <v>5</v>
      </c>
      <c r="R18" s="316"/>
      <c r="S18" s="316"/>
      <c r="T18" s="316"/>
      <c r="U18" s="316"/>
      <c r="V18" s="316">
        <v>6</v>
      </c>
      <c r="W18" s="316"/>
      <c r="X18" s="409">
        <v>7</v>
      </c>
      <c r="Y18" s="409"/>
      <c r="Z18" s="409">
        <v>8</v>
      </c>
      <c r="AA18" s="409"/>
      <c r="AB18" s="409">
        <v>9</v>
      </c>
      <c r="AC18" s="409"/>
      <c r="AD18" s="409">
        <v>10</v>
      </c>
      <c r="AE18" s="409"/>
    </row>
    <row r="19" spans="1:31" ht="20.100000000000001" customHeight="1">
      <c r="A19" s="86"/>
      <c r="B19" s="81"/>
      <c r="C19" s="406"/>
      <c r="D19" s="406"/>
      <c r="E19" s="406"/>
      <c r="F19" s="406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1"/>
      <c r="R19" s="401"/>
      <c r="S19" s="401"/>
      <c r="T19" s="401"/>
      <c r="U19" s="401"/>
      <c r="V19" s="408">
        <f>SUM(X19,Z19,AB19,AD19)</f>
        <v>0</v>
      </c>
      <c r="W19" s="408"/>
      <c r="X19" s="402"/>
      <c r="Y19" s="402"/>
      <c r="Z19" s="402"/>
      <c r="AA19" s="402"/>
      <c r="AB19" s="402"/>
      <c r="AC19" s="402"/>
      <c r="AD19" s="402"/>
      <c r="AE19" s="402"/>
    </row>
    <row r="20" spans="1:31" ht="20.100000000000001" customHeight="1">
      <c r="A20" s="86"/>
      <c r="B20" s="81"/>
      <c r="C20" s="406"/>
      <c r="D20" s="406"/>
      <c r="E20" s="406"/>
      <c r="F20" s="406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1"/>
      <c r="R20" s="401"/>
      <c r="S20" s="401"/>
      <c r="T20" s="401"/>
      <c r="U20" s="401"/>
      <c r="V20" s="408">
        <f>SUM(X20,Z20,AB20,AD20)</f>
        <v>0</v>
      </c>
      <c r="W20" s="408"/>
      <c r="X20" s="402"/>
      <c r="Y20" s="402"/>
      <c r="Z20" s="402"/>
      <c r="AA20" s="402"/>
      <c r="AB20" s="402"/>
      <c r="AC20" s="402"/>
      <c r="AD20" s="402"/>
      <c r="AE20" s="402"/>
    </row>
    <row r="21" spans="1:31" ht="20.100000000000001" customHeight="1">
      <c r="A21" s="86"/>
      <c r="B21" s="81"/>
      <c r="C21" s="406"/>
      <c r="D21" s="406"/>
      <c r="E21" s="406"/>
      <c r="F21" s="406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1"/>
      <c r="R21" s="401"/>
      <c r="S21" s="401"/>
      <c r="T21" s="401"/>
      <c r="U21" s="401"/>
      <c r="V21" s="408">
        <f>SUM(X21,Z21,AB21,AD21)</f>
        <v>0</v>
      </c>
      <c r="W21" s="408"/>
      <c r="X21" s="402"/>
      <c r="Y21" s="402"/>
      <c r="Z21" s="402"/>
      <c r="AA21" s="402"/>
      <c r="AB21" s="402"/>
      <c r="AC21" s="402"/>
      <c r="AD21" s="402"/>
      <c r="AE21" s="402"/>
    </row>
    <row r="22" spans="1:31" ht="20.100000000000001" customHeight="1">
      <c r="A22" s="86"/>
      <c r="B22" s="81"/>
      <c r="C22" s="406"/>
      <c r="D22" s="406"/>
      <c r="E22" s="406"/>
      <c r="F22" s="406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1"/>
      <c r="R22" s="401"/>
      <c r="S22" s="401"/>
      <c r="T22" s="401"/>
      <c r="U22" s="401"/>
      <c r="V22" s="408">
        <f>SUM(X22,Z22,AB22,AD22)</f>
        <v>0</v>
      </c>
      <c r="W22" s="408"/>
      <c r="X22" s="402"/>
      <c r="Y22" s="402"/>
      <c r="Z22" s="402"/>
      <c r="AA22" s="402"/>
      <c r="AB22" s="402"/>
      <c r="AC22" s="402"/>
      <c r="AD22" s="402"/>
      <c r="AE22" s="402"/>
    </row>
    <row r="23" spans="1:31" ht="20.100000000000001" customHeight="1">
      <c r="A23" s="319" t="s">
        <v>60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97">
        <f>SUM(V19:W22)</f>
        <v>0</v>
      </c>
      <c r="W23" s="397"/>
      <c r="X23" s="397">
        <f>SUM(X19:Y22)</f>
        <v>0</v>
      </c>
      <c r="Y23" s="397"/>
      <c r="Z23" s="397">
        <f>SUM(Z19:AA22)</f>
        <v>0</v>
      </c>
      <c r="AA23" s="397"/>
      <c r="AB23" s="397">
        <f>SUM(AB19:AC22)</f>
        <v>0</v>
      </c>
      <c r="AC23" s="397"/>
      <c r="AD23" s="397">
        <f>SUM(AD19:AE22)</f>
        <v>0</v>
      </c>
      <c r="AE23" s="397"/>
    </row>
    <row r="24" spans="1:3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Q24" s="29"/>
      <c r="R24" s="29"/>
      <c r="S24" s="29"/>
      <c r="T24" s="29"/>
      <c r="U24" s="29"/>
      <c r="AE24" s="29"/>
    </row>
    <row r="25" spans="1:31" s="39" customFormat="1" ht="18.75" customHeight="1">
      <c r="B25" s="39" t="s">
        <v>232</v>
      </c>
    </row>
    <row r="26" spans="1:31" ht="26.25">
      <c r="A26" s="26"/>
      <c r="B26" s="26"/>
      <c r="C26" s="26"/>
      <c r="D26" s="26"/>
      <c r="E26" s="26"/>
      <c r="F26" s="26"/>
      <c r="G26" s="26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26"/>
      <c r="AD26" s="176" t="s">
        <v>252</v>
      </c>
    </row>
    <row r="27" spans="1:31" ht="30" customHeight="1">
      <c r="A27" s="307" t="s">
        <v>55</v>
      </c>
      <c r="B27" s="307" t="s">
        <v>256</v>
      </c>
      <c r="C27" s="307"/>
      <c r="D27" s="307"/>
      <c r="E27" s="307"/>
      <c r="F27" s="307"/>
      <c r="G27" s="366" t="s">
        <v>59</v>
      </c>
      <c r="H27" s="367"/>
      <c r="I27" s="367"/>
      <c r="J27" s="368"/>
      <c r="K27" s="366" t="s">
        <v>96</v>
      </c>
      <c r="L27" s="367"/>
      <c r="M27" s="367"/>
      <c r="N27" s="368"/>
      <c r="O27" s="366" t="s">
        <v>303</v>
      </c>
      <c r="P27" s="367"/>
      <c r="Q27" s="367"/>
      <c r="R27" s="368"/>
      <c r="S27" s="366" t="s">
        <v>141</v>
      </c>
      <c r="T27" s="367"/>
      <c r="U27" s="367"/>
      <c r="V27" s="368"/>
      <c r="W27" s="366" t="s">
        <v>60</v>
      </c>
      <c r="X27" s="367"/>
      <c r="Y27" s="367"/>
      <c r="Z27" s="368"/>
    </row>
    <row r="28" spans="1:31" ht="30" customHeight="1">
      <c r="A28" s="307"/>
      <c r="B28" s="307"/>
      <c r="C28" s="307"/>
      <c r="D28" s="307"/>
      <c r="E28" s="307"/>
      <c r="F28" s="307"/>
      <c r="G28" s="366" t="s">
        <v>105</v>
      </c>
      <c r="H28" s="367"/>
      <c r="I28" s="367"/>
      <c r="J28" s="368"/>
      <c r="K28" s="366" t="s">
        <v>105</v>
      </c>
      <c r="L28" s="367"/>
      <c r="M28" s="367"/>
      <c r="N28" s="368"/>
      <c r="O28" s="366" t="s">
        <v>105</v>
      </c>
      <c r="P28" s="367"/>
      <c r="Q28" s="367"/>
      <c r="R28" s="368"/>
      <c r="S28" s="366" t="s">
        <v>105</v>
      </c>
      <c r="T28" s="367"/>
      <c r="U28" s="367"/>
      <c r="V28" s="368"/>
      <c r="W28" s="366" t="s">
        <v>105</v>
      </c>
      <c r="X28" s="367"/>
      <c r="Y28" s="367"/>
      <c r="Z28" s="368"/>
    </row>
    <row r="29" spans="1:31" ht="39.950000000000003" customHeight="1">
      <c r="A29" s="307"/>
      <c r="B29" s="307"/>
      <c r="C29" s="307"/>
      <c r="D29" s="307"/>
      <c r="E29" s="307"/>
      <c r="F29" s="307"/>
      <c r="G29" s="7" t="s">
        <v>375</v>
      </c>
      <c r="H29" s="7" t="s">
        <v>366</v>
      </c>
      <c r="I29" s="7" t="s">
        <v>367</v>
      </c>
      <c r="J29" s="7" t="s">
        <v>86</v>
      </c>
      <c r="K29" s="7" t="s">
        <v>375</v>
      </c>
      <c r="L29" s="7" t="s">
        <v>366</v>
      </c>
      <c r="M29" s="7" t="s">
        <v>367</v>
      </c>
      <c r="N29" s="7" t="s">
        <v>86</v>
      </c>
      <c r="O29" s="7" t="s">
        <v>375</v>
      </c>
      <c r="P29" s="7" t="s">
        <v>366</v>
      </c>
      <c r="Q29" s="7" t="s">
        <v>367</v>
      </c>
      <c r="R29" s="7" t="s">
        <v>86</v>
      </c>
      <c r="S29" s="7" t="s">
        <v>375</v>
      </c>
      <c r="T29" s="7" t="s">
        <v>366</v>
      </c>
      <c r="U29" s="7" t="s">
        <v>367</v>
      </c>
      <c r="V29" s="7" t="s">
        <v>86</v>
      </c>
      <c r="W29" s="7" t="s">
        <v>375</v>
      </c>
      <c r="X29" s="7" t="s">
        <v>366</v>
      </c>
      <c r="Y29" s="7" t="s">
        <v>367</v>
      </c>
      <c r="Z29" s="7" t="s">
        <v>86</v>
      </c>
    </row>
    <row r="30" spans="1:31" ht="18" customHeight="1">
      <c r="A30" s="7">
        <v>1</v>
      </c>
      <c r="B30" s="307">
        <v>2</v>
      </c>
      <c r="C30" s="307"/>
      <c r="D30" s="307"/>
      <c r="E30" s="307"/>
      <c r="F30" s="307"/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7">
        <v>8</v>
      </c>
      <c r="M30" s="7">
        <v>9</v>
      </c>
      <c r="N30" s="7">
        <v>10</v>
      </c>
      <c r="O30" s="7">
        <v>11</v>
      </c>
      <c r="P30" s="7">
        <v>12</v>
      </c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  <c r="X30" s="7">
        <v>20</v>
      </c>
      <c r="Y30" s="7">
        <v>21</v>
      </c>
      <c r="Z30" s="6">
        <v>22</v>
      </c>
    </row>
    <row r="31" spans="1:31" ht="27" customHeight="1">
      <c r="A31" s="84">
        <v>1</v>
      </c>
      <c r="B31" s="439" t="s">
        <v>466</v>
      </c>
      <c r="C31" s="439"/>
      <c r="D31" s="439"/>
      <c r="E31" s="439"/>
      <c r="F31" s="439"/>
      <c r="G31" s="238"/>
      <c r="H31" s="238"/>
      <c r="I31" s="238"/>
      <c r="J31" s="238"/>
      <c r="K31" s="237"/>
      <c r="L31" s="237"/>
      <c r="M31" s="237"/>
      <c r="N31" s="237"/>
      <c r="O31" s="76"/>
      <c r="P31" s="76"/>
      <c r="Q31" s="235"/>
      <c r="R31" s="235"/>
      <c r="S31" s="76"/>
      <c r="T31" s="76"/>
      <c r="U31" s="76"/>
      <c r="V31" s="76"/>
      <c r="W31" s="170">
        <f t="shared" ref="W31:X32" si="0">SUM(G31,K31,O31,S31)</f>
        <v>0</v>
      </c>
      <c r="X31" s="170">
        <f>SUM(H31,L31,P31,T31)</f>
        <v>0</v>
      </c>
      <c r="Y31" s="170">
        <f>SUM(I31,M31,Q31,U31)</f>
        <v>0</v>
      </c>
      <c r="Z31" s="170">
        <f>SUM(J31,N31,R31,V31)</f>
        <v>0</v>
      </c>
    </row>
    <row r="32" spans="1:31" ht="20.100000000000001" customHeight="1">
      <c r="A32" s="84">
        <v>2</v>
      </c>
      <c r="B32" s="439" t="s">
        <v>415</v>
      </c>
      <c r="C32" s="439"/>
      <c r="D32" s="439"/>
      <c r="E32" s="439"/>
      <c r="F32" s="439"/>
      <c r="G32" s="238"/>
      <c r="H32" s="238"/>
      <c r="I32" s="238"/>
      <c r="J32" s="238"/>
      <c r="K32" s="237">
        <f>'IV. Кап. інвестиції'!F11</f>
        <v>4167</v>
      </c>
      <c r="L32" s="237">
        <f>'IV. Кап. інвестиції'!G11</f>
        <v>5833</v>
      </c>
      <c r="M32" s="237">
        <f>'IV. Кап. інвестиції'!H11</f>
        <v>5833</v>
      </c>
      <c r="N32" s="237">
        <f>'IV. Кап. інвестиції'!I11</f>
        <v>5833</v>
      </c>
      <c r="O32" s="76"/>
      <c r="P32" s="76"/>
      <c r="Q32" s="76"/>
      <c r="R32" s="76"/>
      <c r="S32" s="76"/>
      <c r="T32" s="76"/>
      <c r="U32" s="76"/>
      <c r="V32" s="76"/>
      <c r="W32" s="170">
        <f t="shared" si="0"/>
        <v>4167</v>
      </c>
      <c r="X32" s="170">
        <f t="shared" si="0"/>
        <v>5833</v>
      </c>
      <c r="Y32" s="170">
        <v>7000</v>
      </c>
      <c r="Z32" s="170">
        <f>Y32</f>
        <v>7000</v>
      </c>
    </row>
    <row r="33" spans="1:31" ht="20.100000000000001" customHeight="1">
      <c r="A33" s="403" t="s">
        <v>60</v>
      </c>
      <c r="B33" s="404"/>
      <c r="C33" s="404"/>
      <c r="D33" s="404"/>
      <c r="E33" s="404"/>
      <c r="F33" s="405"/>
      <c r="G33" s="93">
        <f t="shared" ref="G33:Z33" si="1">SUM(G31:G32)</f>
        <v>0</v>
      </c>
      <c r="H33" s="93">
        <f t="shared" si="1"/>
        <v>0</v>
      </c>
      <c r="I33" s="93">
        <f t="shared" si="1"/>
        <v>0</v>
      </c>
      <c r="J33" s="93">
        <f t="shared" si="1"/>
        <v>0</v>
      </c>
      <c r="K33" s="170">
        <f t="shared" si="1"/>
        <v>4167</v>
      </c>
      <c r="L33" s="170">
        <f t="shared" si="1"/>
        <v>5833</v>
      </c>
      <c r="M33" s="170">
        <f t="shared" si="1"/>
        <v>5833</v>
      </c>
      <c r="N33" s="170">
        <f t="shared" si="1"/>
        <v>5833</v>
      </c>
      <c r="O33" s="93">
        <f t="shared" si="1"/>
        <v>0</v>
      </c>
      <c r="P33" s="93">
        <f t="shared" si="1"/>
        <v>0</v>
      </c>
      <c r="Q33" s="93">
        <f t="shared" si="1"/>
        <v>0</v>
      </c>
      <c r="R33" s="93">
        <f t="shared" si="1"/>
        <v>0</v>
      </c>
      <c r="S33" s="93">
        <f t="shared" si="1"/>
        <v>0</v>
      </c>
      <c r="T33" s="93">
        <f t="shared" si="1"/>
        <v>0</v>
      </c>
      <c r="U33" s="93">
        <f t="shared" si="1"/>
        <v>0</v>
      </c>
      <c r="V33" s="93">
        <f t="shared" si="1"/>
        <v>0</v>
      </c>
      <c r="W33" s="170">
        <f t="shared" si="1"/>
        <v>4167</v>
      </c>
      <c r="X33" s="170">
        <f t="shared" si="1"/>
        <v>5833</v>
      </c>
      <c r="Y33" s="170">
        <f t="shared" si="1"/>
        <v>7000</v>
      </c>
      <c r="Z33" s="170">
        <f t="shared" si="1"/>
        <v>7000</v>
      </c>
    </row>
    <row r="34" spans="1:31" ht="20.100000000000001" customHeight="1">
      <c r="A34" s="393" t="s">
        <v>61</v>
      </c>
      <c r="B34" s="394"/>
      <c r="C34" s="394"/>
      <c r="D34" s="394"/>
      <c r="E34" s="394"/>
      <c r="F34" s="395"/>
      <c r="G34" s="76"/>
      <c r="H34" s="76"/>
      <c r="I34" s="76"/>
      <c r="J34" s="76"/>
      <c r="K34" s="174">
        <v>100</v>
      </c>
      <c r="L34" s="174">
        <v>100</v>
      </c>
      <c r="M34" s="174">
        <v>100</v>
      </c>
      <c r="N34" s="174">
        <v>100</v>
      </c>
      <c r="O34" s="174">
        <v>100</v>
      </c>
      <c r="P34" s="174">
        <v>100</v>
      </c>
      <c r="Q34" s="174">
        <v>100</v>
      </c>
      <c r="R34" s="174">
        <v>100</v>
      </c>
      <c r="S34" s="76"/>
      <c r="T34" s="76"/>
      <c r="U34" s="76"/>
      <c r="V34" s="76"/>
      <c r="W34" s="76">
        <v>100</v>
      </c>
      <c r="X34" s="76">
        <v>100</v>
      </c>
      <c r="Y34" s="76">
        <v>100</v>
      </c>
      <c r="Z34" s="76">
        <v>100</v>
      </c>
    </row>
    <row r="35" spans="1:31" ht="20.100000000000001" customHeight="1">
      <c r="A35" s="16"/>
      <c r="B35" s="1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31" s="39" customFormat="1" ht="20.100000000000001" customHeight="1">
      <c r="B36" s="39" t="s">
        <v>257</v>
      </c>
    </row>
    <row r="37" spans="1:31" s="67" customFormat="1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K37" s="1"/>
      <c r="AD37" s="176" t="s">
        <v>252</v>
      </c>
    </row>
    <row r="38" spans="1:31" s="68" customFormat="1" ht="34.5" customHeight="1">
      <c r="A38" s="311" t="s">
        <v>224</v>
      </c>
      <c r="B38" s="307" t="s">
        <v>302</v>
      </c>
      <c r="C38" s="307" t="s">
        <v>333</v>
      </c>
      <c r="D38" s="307"/>
      <c r="E38" s="307" t="s">
        <v>225</v>
      </c>
      <c r="F38" s="307"/>
      <c r="G38" s="307" t="s">
        <v>226</v>
      </c>
      <c r="H38" s="307"/>
      <c r="I38" s="307" t="s">
        <v>296</v>
      </c>
      <c r="J38" s="307"/>
      <c r="K38" s="307" t="s">
        <v>149</v>
      </c>
      <c r="L38" s="307"/>
      <c r="M38" s="307"/>
      <c r="N38" s="307"/>
      <c r="O38" s="307"/>
      <c r="P38" s="307"/>
      <c r="Q38" s="307"/>
      <c r="R38" s="307"/>
      <c r="S38" s="307"/>
      <c r="T38" s="307"/>
      <c r="U38" s="307" t="s">
        <v>334</v>
      </c>
      <c r="V38" s="307"/>
      <c r="W38" s="307"/>
      <c r="X38" s="307"/>
      <c r="Y38" s="307"/>
      <c r="Z38" s="307" t="s">
        <v>300</v>
      </c>
      <c r="AA38" s="307"/>
      <c r="AB38" s="307"/>
      <c r="AC38" s="307"/>
      <c r="AD38" s="307"/>
      <c r="AE38" s="307"/>
    </row>
    <row r="39" spans="1:31" s="68" customFormat="1" ht="52.5" customHeight="1">
      <c r="A39" s="311"/>
      <c r="B39" s="307"/>
      <c r="C39" s="307"/>
      <c r="D39" s="307"/>
      <c r="E39" s="307"/>
      <c r="F39" s="307"/>
      <c r="G39" s="307"/>
      <c r="H39" s="307"/>
      <c r="I39" s="307"/>
      <c r="J39" s="307"/>
      <c r="K39" s="307" t="s">
        <v>344</v>
      </c>
      <c r="L39" s="307"/>
      <c r="M39" s="307" t="s">
        <v>345</v>
      </c>
      <c r="N39" s="307"/>
      <c r="O39" s="307" t="s">
        <v>332</v>
      </c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</row>
    <row r="40" spans="1:31" s="69" customFormat="1" ht="82.5" customHeight="1">
      <c r="A40" s="311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 t="s">
        <v>297</v>
      </c>
      <c r="P40" s="307"/>
      <c r="Q40" s="307" t="s">
        <v>298</v>
      </c>
      <c r="R40" s="307"/>
      <c r="S40" s="307" t="s">
        <v>299</v>
      </c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</row>
    <row r="41" spans="1:31" s="68" customFormat="1" ht="18" customHeight="1">
      <c r="A41" s="6">
        <v>1</v>
      </c>
      <c r="B41" s="7">
        <v>2</v>
      </c>
      <c r="C41" s="307">
        <v>3</v>
      </c>
      <c r="D41" s="307"/>
      <c r="E41" s="307">
        <v>4</v>
      </c>
      <c r="F41" s="307"/>
      <c r="G41" s="307">
        <v>5</v>
      </c>
      <c r="H41" s="307"/>
      <c r="I41" s="307">
        <v>6</v>
      </c>
      <c r="J41" s="307"/>
      <c r="K41" s="366">
        <v>7</v>
      </c>
      <c r="L41" s="368"/>
      <c r="M41" s="366">
        <v>8</v>
      </c>
      <c r="N41" s="368"/>
      <c r="O41" s="307">
        <v>9</v>
      </c>
      <c r="P41" s="307"/>
      <c r="Q41" s="311">
        <v>10</v>
      </c>
      <c r="R41" s="311"/>
      <c r="S41" s="307">
        <v>11</v>
      </c>
      <c r="T41" s="307"/>
      <c r="U41" s="307">
        <v>12</v>
      </c>
      <c r="V41" s="307"/>
      <c r="W41" s="307"/>
      <c r="X41" s="307"/>
      <c r="Y41" s="307"/>
      <c r="Z41" s="307">
        <v>13</v>
      </c>
      <c r="AA41" s="307"/>
      <c r="AB41" s="307"/>
      <c r="AC41" s="307"/>
      <c r="AD41" s="307"/>
      <c r="AE41" s="307"/>
    </row>
    <row r="42" spans="1:31" s="68" customFormat="1" ht="20.100000000000001" customHeight="1">
      <c r="A42" s="84"/>
      <c r="B42" s="85"/>
      <c r="C42" s="396"/>
      <c r="D42" s="396"/>
      <c r="E42" s="374"/>
      <c r="F42" s="374"/>
      <c r="G42" s="374"/>
      <c r="H42" s="374"/>
      <c r="I42" s="374"/>
      <c r="J42" s="374"/>
      <c r="K42" s="437"/>
      <c r="L42" s="438"/>
      <c r="M42" s="381">
        <f t="shared" ref="M42:M48" si="2">SUM(O42,Q42,S42)</f>
        <v>0</v>
      </c>
      <c r="N42" s="382"/>
      <c r="O42" s="374"/>
      <c r="P42" s="374"/>
      <c r="Q42" s="374"/>
      <c r="R42" s="374"/>
      <c r="S42" s="374"/>
      <c r="T42" s="374"/>
      <c r="U42" s="398"/>
      <c r="V42" s="398"/>
      <c r="W42" s="398"/>
      <c r="X42" s="398"/>
      <c r="Y42" s="398"/>
      <c r="Z42" s="392"/>
      <c r="AA42" s="392"/>
      <c r="AB42" s="392"/>
      <c r="AC42" s="392"/>
      <c r="AD42" s="392"/>
      <c r="AE42" s="392"/>
    </row>
    <row r="43" spans="1:31" s="68" customFormat="1" ht="20.100000000000001" customHeight="1">
      <c r="A43" s="84"/>
      <c r="B43" s="85"/>
      <c r="C43" s="396"/>
      <c r="D43" s="396"/>
      <c r="E43" s="374"/>
      <c r="F43" s="374"/>
      <c r="G43" s="374"/>
      <c r="H43" s="374"/>
      <c r="I43" s="374"/>
      <c r="J43" s="374"/>
      <c r="K43" s="437"/>
      <c r="L43" s="438"/>
      <c r="M43" s="381">
        <f t="shared" si="2"/>
        <v>0</v>
      </c>
      <c r="N43" s="382"/>
      <c r="O43" s="374"/>
      <c r="P43" s="374"/>
      <c r="Q43" s="374"/>
      <c r="R43" s="374"/>
      <c r="S43" s="374"/>
      <c r="T43" s="374"/>
      <c r="U43" s="398"/>
      <c r="V43" s="398"/>
      <c r="W43" s="398"/>
      <c r="X43" s="398"/>
      <c r="Y43" s="398"/>
      <c r="Z43" s="392"/>
      <c r="AA43" s="392"/>
      <c r="AB43" s="392"/>
      <c r="AC43" s="392"/>
      <c r="AD43" s="392"/>
      <c r="AE43" s="392"/>
    </row>
    <row r="44" spans="1:31" s="68" customFormat="1" ht="20.100000000000001" customHeight="1">
      <c r="A44" s="84"/>
      <c r="B44" s="85"/>
      <c r="C44" s="396"/>
      <c r="D44" s="396"/>
      <c r="E44" s="374"/>
      <c r="F44" s="374"/>
      <c r="G44" s="374"/>
      <c r="H44" s="374"/>
      <c r="I44" s="374"/>
      <c r="J44" s="374"/>
      <c r="K44" s="437"/>
      <c r="L44" s="438"/>
      <c r="M44" s="381">
        <f t="shared" si="2"/>
        <v>0</v>
      </c>
      <c r="N44" s="382"/>
      <c r="O44" s="374"/>
      <c r="P44" s="374"/>
      <c r="Q44" s="374"/>
      <c r="R44" s="374"/>
      <c r="S44" s="374"/>
      <c r="T44" s="374"/>
      <c r="U44" s="398"/>
      <c r="V44" s="398"/>
      <c r="W44" s="398"/>
      <c r="X44" s="398"/>
      <c r="Y44" s="398"/>
      <c r="Z44" s="392"/>
      <c r="AA44" s="392"/>
      <c r="AB44" s="392"/>
      <c r="AC44" s="392"/>
      <c r="AD44" s="392"/>
      <c r="AE44" s="392"/>
    </row>
    <row r="45" spans="1:31" s="68" customFormat="1" ht="20.100000000000001" customHeight="1">
      <c r="A45" s="84"/>
      <c r="B45" s="85"/>
      <c r="C45" s="396"/>
      <c r="D45" s="396"/>
      <c r="E45" s="374"/>
      <c r="F45" s="374"/>
      <c r="G45" s="374"/>
      <c r="H45" s="374"/>
      <c r="I45" s="374"/>
      <c r="J45" s="374"/>
      <c r="K45" s="437"/>
      <c r="L45" s="438"/>
      <c r="M45" s="381">
        <f>SUM(O45,Q45,S45)</f>
        <v>0</v>
      </c>
      <c r="N45" s="382"/>
      <c r="O45" s="374"/>
      <c r="P45" s="374"/>
      <c r="Q45" s="374"/>
      <c r="R45" s="374"/>
      <c r="S45" s="374"/>
      <c r="T45" s="374"/>
      <c r="U45" s="398"/>
      <c r="V45" s="398"/>
      <c r="W45" s="398"/>
      <c r="X45" s="398"/>
      <c r="Y45" s="398"/>
      <c r="Z45" s="392"/>
      <c r="AA45" s="392"/>
      <c r="AB45" s="392"/>
      <c r="AC45" s="392"/>
      <c r="AD45" s="392"/>
      <c r="AE45" s="392"/>
    </row>
    <row r="46" spans="1:31" s="68" customFormat="1" ht="20.100000000000001" customHeight="1">
      <c r="A46" s="84"/>
      <c r="B46" s="85"/>
      <c r="C46" s="396"/>
      <c r="D46" s="396"/>
      <c r="E46" s="374"/>
      <c r="F46" s="374"/>
      <c r="G46" s="374"/>
      <c r="H46" s="374"/>
      <c r="I46" s="374"/>
      <c r="J46" s="374"/>
      <c r="K46" s="437"/>
      <c r="L46" s="438"/>
      <c r="M46" s="381">
        <f t="shared" si="2"/>
        <v>0</v>
      </c>
      <c r="N46" s="382"/>
      <c r="O46" s="374"/>
      <c r="P46" s="374"/>
      <c r="Q46" s="374"/>
      <c r="R46" s="374"/>
      <c r="S46" s="374"/>
      <c r="T46" s="374"/>
      <c r="U46" s="398"/>
      <c r="V46" s="398"/>
      <c r="W46" s="398"/>
      <c r="X46" s="398"/>
      <c r="Y46" s="398"/>
      <c r="Z46" s="392"/>
      <c r="AA46" s="392"/>
      <c r="AB46" s="392"/>
      <c r="AC46" s="392"/>
      <c r="AD46" s="392"/>
      <c r="AE46" s="392"/>
    </row>
    <row r="47" spans="1:31" s="68" customFormat="1" ht="20.100000000000001" customHeight="1">
      <c r="A47" s="84"/>
      <c r="B47" s="85"/>
      <c r="C47" s="396"/>
      <c r="D47" s="396"/>
      <c r="E47" s="374"/>
      <c r="F47" s="374"/>
      <c r="G47" s="374"/>
      <c r="H47" s="374"/>
      <c r="I47" s="374"/>
      <c r="J47" s="374"/>
      <c r="K47" s="437"/>
      <c r="L47" s="438"/>
      <c r="M47" s="381">
        <f t="shared" si="2"/>
        <v>0</v>
      </c>
      <c r="N47" s="382"/>
      <c r="O47" s="374"/>
      <c r="P47" s="374"/>
      <c r="Q47" s="374"/>
      <c r="R47" s="374"/>
      <c r="S47" s="374"/>
      <c r="T47" s="374"/>
      <c r="U47" s="398"/>
      <c r="V47" s="398"/>
      <c r="W47" s="398"/>
      <c r="X47" s="398"/>
      <c r="Y47" s="398"/>
      <c r="Z47" s="392"/>
      <c r="AA47" s="392"/>
      <c r="AB47" s="392"/>
      <c r="AC47" s="392"/>
      <c r="AD47" s="392"/>
      <c r="AE47" s="392"/>
    </row>
    <row r="48" spans="1:31" s="68" customFormat="1" ht="20.100000000000001" customHeight="1">
      <c r="A48" s="84"/>
      <c r="B48" s="85"/>
      <c r="C48" s="396"/>
      <c r="D48" s="396"/>
      <c r="E48" s="374"/>
      <c r="F48" s="374"/>
      <c r="G48" s="374"/>
      <c r="H48" s="374"/>
      <c r="I48" s="374"/>
      <c r="J48" s="374"/>
      <c r="K48" s="437"/>
      <c r="L48" s="438"/>
      <c r="M48" s="381">
        <f t="shared" si="2"/>
        <v>0</v>
      </c>
      <c r="N48" s="382"/>
      <c r="O48" s="374"/>
      <c r="P48" s="374"/>
      <c r="Q48" s="374"/>
      <c r="R48" s="374"/>
      <c r="S48" s="374"/>
      <c r="T48" s="374"/>
      <c r="U48" s="398"/>
      <c r="V48" s="398"/>
      <c r="W48" s="398"/>
      <c r="X48" s="398"/>
      <c r="Y48" s="398"/>
      <c r="Z48" s="392"/>
      <c r="AA48" s="392"/>
      <c r="AB48" s="392"/>
      <c r="AC48" s="392"/>
      <c r="AD48" s="392"/>
      <c r="AE48" s="392"/>
    </row>
    <row r="49" spans="1:31" s="68" customFormat="1" ht="20.100000000000001" customHeight="1">
      <c r="A49" s="393" t="s">
        <v>60</v>
      </c>
      <c r="B49" s="394"/>
      <c r="C49" s="394"/>
      <c r="D49" s="395"/>
      <c r="E49" s="397">
        <f>SUM(E42:F48)</f>
        <v>0</v>
      </c>
      <c r="F49" s="397"/>
      <c r="G49" s="397">
        <f>SUM(G42:H48)</f>
        <v>0</v>
      </c>
      <c r="H49" s="397"/>
      <c r="I49" s="397">
        <f>SUM(I42:J48)</f>
        <v>0</v>
      </c>
      <c r="J49" s="397"/>
      <c r="K49" s="397">
        <f>SUM(K42:L48)</f>
        <v>0</v>
      </c>
      <c r="L49" s="397"/>
      <c r="M49" s="397">
        <f>SUM(M42:N48)</f>
        <v>0</v>
      </c>
      <c r="N49" s="397"/>
      <c r="O49" s="397">
        <f>SUM(O42:P48)</f>
        <v>0</v>
      </c>
      <c r="P49" s="397"/>
      <c r="Q49" s="397">
        <f>SUM(Q42:R48)</f>
        <v>0</v>
      </c>
      <c r="R49" s="397"/>
      <c r="S49" s="397">
        <f>SUM(S42:T48)</f>
        <v>0</v>
      </c>
      <c r="T49" s="397"/>
      <c r="U49" s="398"/>
      <c r="V49" s="398"/>
      <c r="W49" s="398"/>
      <c r="X49" s="398"/>
      <c r="Y49" s="398"/>
      <c r="Z49" s="392"/>
      <c r="AA49" s="392"/>
      <c r="AB49" s="392"/>
      <c r="AC49" s="392"/>
      <c r="AD49" s="392"/>
      <c r="AE49" s="392"/>
    </row>
    <row r="50" spans="1:31" ht="20.100000000000001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31" ht="20.100000000000001" customHeight="1">
      <c r="A51" s="16"/>
      <c r="B51" s="1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31" s="4" customFormat="1" ht="20.100000000000001" customHeight="1">
      <c r="C52" s="39"/>
      <c r="D52" s="39"/>
      <c r="E52" s="39"/>
      <c r="F52" s="39"/>
      <c r="G52" s="39"/>
      <c r="H52" s="39"/>
      <c r="I52" s="39"/>
      <c r="J52" s="39"/>
      <c r="K52" s="39"/>
    </row>
    <row r="53" spans="1:31" s="177" customFormat="1" ht="36" customHeight="1">
      <c r="B53" s="387" t="s">
        <v>407</v>
      </c>
      <c r="C53" s="388"/>
      <c r="D53" s="388"/>
      <c r="E53" s="388"/>
      <c r="F53" s="388"/>
      <c r="G53" s="178"/>
      <c r="H53" s="178"/>
      <c r="I53" s="178"/>
      <c r="J53" s="178"/>
      <c r="K53" s="178"/>
      <c r="L53" s="389" t="s">
        <v>260</v>
      </c>
      <c r="M53" s="389"/>
      <c r="N53" s="389"/>
      <c r="O53" s="389"/>
      <c r="P53" s="389"/>
      <c r="Q53" s="179"/>
      <c r="R53" s="179"/>
      <c r="S53" s="179"/>
      <c r="T53" s="179"/>
      <c r="U53" s="179"/>
      <c r="V53" s="390" t="s">
        <v>403</v>
      </c>
      <c r="W53" s="391"/>
      <c r="X53" s="391"/>
      <c r="Y53" s="391"/>
      <c r="Z53" s="391"/>
    </row>
    <row r="54" spans="1:31" s="4" customFormat="1" ht="19.5" customHeight="1">
      <c r="B54" s="3"/>
      <c r="C54" s="4" t="s">
        <v>83</v>
      </c>
      <c r="E54" s="43"/>
      <c r="F54" s="43"/>
      <c r="G54" s="43"/>
      <c r="H54" s="43"/>
      <c r="I54" s="43"/>
      <c r="J54" s="43"/>
      <c r="K54" s="43"/>
      <c r="M54" s="3"/>
      <c r="N54" s="25" t="s">
        <v>84</v>
      </c>
      <c r="O54" s="3"/>
      <c r="Q54" s="43"/>
      <c r="R54" s="43"/>
      <c r="S54" s="43"/>
      <c r="V54" s="386" t="s">
        <v>142</v>
      </c>
      <c r="W54" s="386"/>
      <c r="X54" s="386"/>
      <c r="Y54" s="386"/>
      <c r="Z54" s="386"/>
    </row>
    <row r="55" spans="1:31" ht="20.100000000000001" customHeight="1">
      <c r="B55" s="35"/>
      <c r="C55" s="35"/>
      <c r="D55" s="35"/>
      <c r="E55" s="35"/>
      <c r="F55" s="35"/>
      <c r="G55" s="35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35"/>
      <c r="U55" s="35"/>
      <c r="AB55" s="1">
        <v>1</v>
      </c>
    </row>
    <row r="56" spans="1:31" ht="20.100000000000001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31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31">
      <c r="B58" s="36"/>
    </row>
    <row r="61" spans="1:31" ht="19.5">
      <c r="B61" s="37"/>
    </row>
    <row r="62" spans="1:31" ht="19.5">
      <c r="B62" s="37"/>
    </row>
    <row r="63" spans="1:31" ht="19.5">
      <c r="B63" s="37"/>
    </row>
    <row r="64" spans="1:31" ht="19.5">
      <c r="B64" s="37"/>
    </row>
    <row r="65" spans="2:2" ht="19.5">
      <c r="B65" s="37"/>
    </row>
    <row r="66" spans="2:2" ht="19.5">
      <c r="B66" s="37"/>
    </row>
    <row r="67" spans="2:2" ht="19.5">
      <c r="B67" s="37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 topLeftCell="A49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52">
    <mergeCell ref="G45:H45"/>
    <mergeCell ref="I45:J45"/>
    <mergeCell ref="Q41:R41"/>
    <mergeCell ref="S43:T43"/>
    <mergeCell ref="M45:N45"/>
    <mergeCell ref="O45:P45"/>
    <mergeCell ref="M44:N44"/>
    <mergeCell ref="B31:F31"/>
    <mergeCell ref="C45:D45"/>
    <mergeCell ref="E45:F45"/>
    <mergeCell ref="E43:F43"/>
    <mergeCell ref="C41:D41"/>
    <mergeCell ref="E41:F41"/>
    <mergeCell ref="B32:F32"/>
    <mergeCell ref="A34:F34"/>
    <mergeCell ref="C43:D43"/>
    <mergeCell ref="A38:A40"/>
    <mergeCell ref="C42:D42"/>
    <mergeCell ref="E42:F42"/>
    <mergeCell ref="C44:D44"/>
    <mergeCell ref="E44:F44"/>
    <mergeCell ref="I38:J40"/>
    <mergeCell ref="O41:P41"/>
    <mergeCell ref="K39:L40"/>
    <mergeCell ref="E49:F49"/>
    <mergeCell ref="G49:H49"/>
    <mergeCell ref="I48:J48"/>
    <mergeCell ref="E47:F47"/>
    <mergeCell ref="Z43:AE43"/>
    <mergeCell ref="U41:Y41"/>
    <mergeCell ref="U42:Y42"/>
    <mergeCell ref="U43:Y43"/>
    <mergeCell ref="M49:N49"/>
    <mergeCell ref="G48:H48"/>
    <mergeCell ref="K48:L48"/>
    <mergeCell ref="O49:P49"/>
    <mergeCell ref="I49:J49"/>
    <mergeCell ref="S41:T41"/>
    <mergeCell ref="Q45:R45"/>
    <mergeCell ref="Z44:AE44"/>
    <mergeCell ref="I47:J47"/>
    <mergeCell ref="K45:L45"/>
    <mergeCell ref="K44:L44"/>
    <mergeCell ref="O46:P46"/>
    <mergeCell ref="Q44:R44"/>
    <mergeCell ref="Z47:AE47"/>
    <mergeCell ref="Z41:AE41"/>
    <mergeCell ref="Z42:AE42"/>
    <mergeCell ref="C47:D47"/>
    <mergeCell ref="G47:H47"/>
    <mergeCell ref="Q46:R46"/>
    <mergeCell ref="K47:L47"/>
    <mergeCell ref="K46:L46"/>
    <mergeCell ref="M47:N47"/>
    <mergeCell ref="O47:P47"/>
    <mergeCell ref="Q47:R47"/>
    <mergeCell ref="C46:D46"/>
    <mergeCell ref="M46:N46"/>
    <mergeCell ref="E46:F46"/>
    <mergeCell ref="G46:H46"/>
    <mergeCell ref="I46:J46"/>
    <mergeCell ref="G42:H42"/>
    <mergeCell ref="I41:J41"/>
    <mergeCell ref="K41:L41"/>
    <mergeCell ref="K42:L42"/>
    <mergeCell ref="O39:T39"/>
    <mergeCell ref="G43:H43"/>
    <mergeCell ref="G27:J27"/>
    <mergeCell ref="O44:P44"/>
    <mergeCell ref="K43:L43"/>
    <mergeCell ref="G41:H41"/>
    <mergeCell ref="G28:J28"/>
    <mergeCell ref="I43:J43"/>
    <mergeCell ref="I42:J42"/>
    <mergeCell ref="O40:P40"/>
    <mergeCell ref="Q40:R40"/>
    <mergeCell ref="G18:P18"/>
    <mergeCell ref="Z38:AE40"/>
    <mergeCell ref="Q5:S5"/>
    <mergeCell ref="AC5:AE5"/>
    <mergeCell ref="AC9:AE9"/>
    <mergeCell ref="T9:V9"/>
    <mergeCell ref="W9:Y9"/>
    <mergeCell ref="Z17:AA17"/>
    <mergeCell ref="AB17:AC17"/>
    <mergeCell ref="Z11:AB11"/>
    <mergeCell ref="Z10:AB10"/>
    <mergeCell ref="Z9:AB9"/>
    <mergeCell ref="X17:Y17"/>
    <mergeCell ref="W8:Y8"/>
    <mergeCell ref="T8:V8"/>
    <mergeCell ref="T11:V11"/>
    <mergeCell ref="Q7:S7"/>
    <mergeCell ref="W10:Y10"/>
    <mergeCell ref="W11:Y11"/>
    <mergeCell ref="Q10:S10"/>
    <mergeCell ref="Q8:S8"/>
    <mergeCell ref="Q15:U17"/>
    <mergeCell ref="T10:V10"/>
    <mergeCell ref="G38:H40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Z6:AB6"/>
    <mergeCell ref="W6:Y6"/>
    <mergeCell ref="T6:V6"/>
    <mergeCell ref="AC6:AE6"/>
    <mergeCell ref="Q6:S6"/>
    <mergeCell ref="AC10:AE10"/>
    <mergeCell ref="AC11:AE11"/>
    <mergeCell ref="AD17:AE17"/>
    <mergeCell ref="X16:AE16"/>
    <mergeCell ref="A11:L11"/>
    <mergeCell ref="M11:P11"/>
    <mergeCell ref="Q11:S11"/>
    <mergeCell ref="C9:F9"/>
    <mergeCell ref="G9:L9"/>
    <mergeCell ref="M9:P9"/>
    <mergeCell ref="Q9:S9"/>
    <mergeCell ref="C10:F10"/>
    <mergeCell ref="G10:L10"/>
    <mergeCell ref="M10:P10"/>
    <mergeCell ref="AD19:AE19"/>
    <mergeCell ref="AB19:AC19"/>
    <mergeCell ref="AB20:AC20"/>
    <mergeCell ref="Z20:AA20"/>
    <mergeCell ref="Z19:AA19"/>
    <mergeCell ref="X19:Y19"/>
    <mergeCell ref="X20:Y20"/>
    <mergeCell ref="A15:A17"/>
    <mergeCell ref="B15:B17"/>
    <mergeCell ref="C15:F17"/>
    <mergeCell ref="G15:P17"/>
    <mergeCell ref="V15:AE15"/>
    <mergeCell ref="V16:W17"/>
    <mergeCell ref="C19:F19"/>
    <mergeCell ref="G19:P19"/>
    <mergeCell ref="Q19:U19"/>
    <mergeCell ref="V19:W19"/>
    <mergeCell ref="AB18:AC18"/>
    <mergeCell ref="AD18:AE18"/>
    <mergeCell ref="X18:Y18"/>
    <mergeCell ref="V18:W18"/>
    <mergeCell ref="Q18:U18"/>
    <mergeCell ref="C18:F18"/>
    <mergeCell ref="Z18:AA18"/>
    <mergeCell ref="AB21:AC21"/>
    <mergeCell ref="AD21:AE21"/>
    <mergeCell ref="Z21:AA21"/>
    <mergeCell ref="AB22:AC22"/>
    <mergeCell ref="AD22:AE22"/>
    <mergeCell ref="Z22:AA22"/>
    <mergeCell ref="AB23:AC23"/>
    <mergeCell ref="AD23:AE23"/>
    <mergeCell ref="C20:F20"/>
    <mergeCell ref="G20:P20"/>
    <mergeCell ref="Q20:U20"/>
    <mergeCell ref="V20:W20"/>
    <mergeCell ref="AD20:AE20"/>
    <mergeCell ref="C21:F21"/>
    <mergeCell ref="G21:P21"/>
    <mergeCell ref="Q21:U21"/>
    <mergeCell ref="V21:W21"/>
    <mergeCell ref="X21:Y21"/>
    <mergeCell ref="V22:W22"/>
    <mergeCell ref="X23:Y23"/>
    <mergeCell ref="V23:W23"/>
    <mergeCell ref="Z23:AA23"/>
    <mergeCell ref="C22:F22"/>
    <mergeCell ref="G22:P22"/>
    <mergeCell ref="Q22:U22"/>
    <mergeCell ref="X22:Y22"/>
    <mergeCell ref="U38:Y40"/>
    <mergeCell ref="K38:T38"/>
    <mergeCell ref="W28:Z28"/>
    <mergeCell ref="S27:V27"/>
    <mergeCell ref="B27:F29"/>
    <mergeCell ref="A33:F33"/>
    <mergeCell ref="A27:A29"/>
    <mergeCell ref="B30:F30"/>
    <mergeCell ref="B38:B40"/>
    <mergeCell ref="C38:D40"/>
    <mergeCell ref="E38:F40"/>
    <mergeCell ref="AB1:AE1"/>
    <mergeCell ref="Q48:R48"/>
    <mergeCell ref="S44:T44"/>
    <mergeCell ref="U44:Y44"/>
    <mergeCell ref="S46:T46"/>
    <mergeCell ref="U46:Y46"/>
    <mergeCell ref="S42:T42"/>
    <mergeCell ref="A23:U23"/>
    <mergeCell ref="O48:P48"/>
    <mergeCell ref="S48:T48"/>
    <mergeCell ref="U48:Y48"/>
    <mergeCell ref="Z45:AE45"/>
    <mergeCell ref="S45:T45"/>
    <mergeCell ref="U45:Y45"/>
    <mergeCell ref="S47:T47"/>
    <mergeCell ref="U47:Y47"/>
    <mergeCell ref="Z46:AE46"/>
    <mergeCell ref="M43:N43"/>
    <mergeCell ref="M42:N42"/>
    <mergeCell ref="M39:N40"/>
    <mergeCell ref="S40:T40"/>
    <mergeCell ref="M41:N41"/>
    <mergeCell ref="Q43:R43"/>
    <mergeCell ref="Q42:R42"/>
    <mergeCell ref="V54:Z54"/>
    <mergeCell ref="B53:F53"/>
    <mergeCell ref="L53:P53"/>
    <mergeCell ref="V53:Z53"/>
    <mergeCell ref="S28:V28"/>
    <mergeCell ref="W27:Z27"/>
    <mergeCell ref="O28:R28"/>
    <mergeCell ref="K28:N28"/>
    <mergeCell ref="K27:N27"/>
    <mergeCell ref="O27:R27"/>
    <mergeCell ref="Z49:AE49"/>
    <mergeCell ref="A49:D49"/>
    <mergeCell ref="C48:D48"/>
    <mergeCell ref="E48:F48"/>
    <mergeCell ref="M48:N48"/>
    <mergeCell ref="Z48:AE48"/>
    <mergeCell ref="Q49:R49"/>
    <mergeCell ref="K49:L49"/>
    <mergeCell ref="S49:T49"/>
    <mergeCell ref="U49:Y49"/>
    <mergeCell ref="O42:P42"/>
    <mergeCell ref="O43:P43"/>
    <mergeCell ref="G44:H44"/>
    <mergeCell ref="I44:J44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2017-04-11T06:34:58Z</cp:lastPrinted>
  <dcterms:created xsi:type="dcterms:W3CDTF">2003-03-13T16:00:22Z</dcterms:created>
  <dcterms:modified xsi:type="dcterms:W3CDTF">2017-05-12T13:08:12Z</dcterms:modified>
</cp:coreProperties>
</file>